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6925"/>
  <workbookPr codeName="EsteLibro"/>
  <mc:AlternateContent xmlns:mc="http://schemas.openxmlformats.org/markup-compatibility/2006">
    <mc:Choice Requires="x15">
      <x15ac:absPath xmlns:x15ac="http://schemas.microsoft.com/office/spreadsheetml/2010/11/ac" url="D:\DROPBOX\Dropbox\05 eBook\"/>
    </mc:Choice>
  </mc:AlternateContent>
  <bookViews>
    <workbookView xWindow="-15" yWindow="465" windowWidth="9720" windowHeight="6840" tabRatio="721" firstSheet="15" activeTab="18"/>
  </bookViews>
  <sheets>
    <sheet name="1 Indicadores" sheetId="21" r:id="rId1"/>
    <sheet name="2 Porcientos sobre ventas" sheetId="22" r:id="rId2"/>
    <sheet name="3 Balance" sheetId="16" r:id="rId3"/>
    <sheet name="4 Estado de Resultados" sheetId="14" r:id="rId4"/>
    <sheet name="5 Estado de Fuentes y Usos" sheetId="15" r:id="rId5"/>
    <sheet name="6 Estructura del Capital" sheetId="11" r:id="rId6"/>
    <sheet name="7 Balance Inicial" sheetId="3" r:id="rId7"/>
    <sheet name="8 Programa de Inversiónes" sheetId="9" r:id="rId8"/>
    <sheet name="9 Ingresos" sheetId="5" r:id="rId9"/>
    <sheet name="10 Gastos  Admon y Ventas" sheetId="8" r:id="rId10"/>
    <sheet name="11 Gastos de Operación" sheetId="7" r:id="rId11"/>
    <sheet name="12 Costo Materias Primas" sheetId="42" r:id="rId12"/>
    <sheet name="13 Costo Personal d Operaciones" sheetId="6" r:id="rId13"/>
    <sheet name="14 Cedula de Depreciaciones" sheetId="10" r:id="rId14"/>
    <sheet name="15 Crédito Refaccionario" sheetId="23" r:id="rId15"/>
    <sheet name="16 Crédito de Avio" sheetId="24" r:id="rId16"/>
    <sheet name="17 Hoja de Trabajo" sheetId="44" r:id="rId17"/>
    <sheet name="18 Indirectos sobre sueldos" sheetId="45" r:id="rId18"/>
    <sheet name="19 Resumen" sheetId="43" r:id="rId19"/>
  </sheets>
  <definedNames>
    <definedName name="_xlnm._FilterDatabase" localSheetId="8" hidden="1">'9 Ingresos'!$A$1:$AM$12</definedName>
    <definedName name="_xlnm.Print_Area" localSheetId="0">'1 Indicadores'!$A$1:$AM$43</definedName>
    <definedName name="_xlnm.Print_Area" localSheetId="9">'10 Gastos  Admon y Ventas'!$A$1:$AN$41</definedName>
    <definedName name="_xlnm.Print_Area" localSheetId="10">'11 Gastos de Operación'!$A$1:$AM$24</definedName>
    <definedName name="_xlnm.Print_Area" localSheetId="11">'12 Costo Materias Primas'!$A$1:$AL$23</definedName>
    <definedName name="_xlnm.Print_Area" localSheetId="12">'13 Costo Personal d Operaciones'!$A$1:$AN$16</definedName>
    <definedName name="_xlnm.Print_Area" localSheetId="13">'14 Cedula de Depreciaciones'!$A$1:$N$64</definedName>
    <definedName name="_xlnm.Print_Area" localSheetId="14">'15 Crédito Refaccionario'!$A$1:$AK$28</definedName>
    <definedName name="_xlnm.Print_Area" localSheetId="15">'16 Crédito de Avio'!$A$1:$AK$28</definedName>
    <definedName name="_xlnm.Print_Area" localSheetId="18">'19 Resumen'!$A$1:$M$33</definedName>
    <definedName name="_xlnm.Print_Area" localSheetId="1">'2 Porcientos sobre ventas'!$A$1:$L$42</definedName>
    <definedName name="_xlnm.Print_Area" localSheetId="2">'3 Balance'!$A$5:$AM$61</definedName>
    <definedName name="_xlnm.Print_Area" localSheetId="3">'4 Estado de Resultados'!$A$3:$AM$28</definedName>
    <definedName name="_xlnm.Print_Area" localSheetId="4">'5 Estado de Fuentes y Usos'!$A$5:$AL$54</definedName>
    <definedName name="_xlnm.Print_Area" localSheetId="5">'6 Estructura del Capital'!$A$1:$C$41</definedName>
    <definedName name="_xlnm.Print_Area" localSheetId="6">'7 Balance Inicial'!$A$1:$E$35</definedName>
    <definedName name="_xlnm.Print_Area" localSheetId="7">'8 Programa de Inversiónes'!$A$1:$M$55</definedName>
    <definedName name="_xlnm.Print_Area" localSheetId="8">'9 Ingresos'!$A$1:$AM$22</definedName>
    <definedName name="Costo_Ton" localSheetId="9">'10 Gastos  Admon y Ventas'!#REF!</definedName>
    <definedName name="Costo_Ton" localSheetId="10">'11 Gastos de Operación'!#REF!</definedName>
    <definedName name="Costo_Ton" localSheetId="11">'12 Costo Materias Primas'!#REF!</definedName>
    <definedName name="Costo_Ton" localSheetId="12">'13 Costo Personal d Operaciones'!#REF!</definedName>
    <definedName name="Costo_Ton" localSheetId="2">'3 Balance'!#REF!</definedName>
    <definedName name="Costo_Ton" localSheetId="3">'4 Estado de Resultados'!#REF!</definedName>
    <definedName name="Costo_Ton" localSheetId="4">'5 Estado de Fuentes y Usos'!#REF!</definedName>
    <definedName name="Costo_Ton" localSheetId="8">'9 Ingresos'!#REF!</definedName>
    <definedName name="Costo_Ton">#REF!</definedName>
    <definedName name="CostoALI" localSheetId="9">'10 Gastos  Admon y Ventas'!$H$41</definedName>
    <definedName name="CostoALI" localSheetId="10">'11 Gastos de Operación'!$G$25</definedName>
    <definedName name="CostoALI" localSheetId="11">'12 Costo Materias Primas'!#REF!</definedName>
    <definedName name="CostoALI" localSheetId="12">'13 Costo Personal d Operaciones'!$H$18</definedName>
    <definedName name="CostoALI" localSheetId="2">'3 Balance'!$G$25</definedName>
    <definedName name="CostoALI" localSheetId="3">'4 Estado de Resultados'!$G$27</definedName>
    <definedName name="CostoALI" localSheetId="4">'5 Estado de Fuentes y Usos'!$F$27</definedName>
    <definedName name="CostoALI" localSheetId="8">'9 Ingresos'!#REF!</definedName>
    <definedName name="CostoALI">#REF!</definedName>
    <definedName name="CostoPER" localSheetId="9">'10 Gastos  Admon y Ventas'!$H$42</definedName>
    <definedName name="CostoPER" localSheetId="10">'11 Gastos de Operación'!$G$26</definedName>
    <definedName name="CostoPER" localSheetId="11">'12 Costo Materias Primas'!#REF!</definedName>
    <definedName name="CostoPER" localSheetId="12">'13 Costo Personal d Operaciones'!$H$19</definedName>
    <definedName name="CostoPER" localSheetId="2">'3 Balance'!$G$26</definedName>
    <definedName name="CostoPER" localSheetId="3">'4 Estado de Resultados'!$G$28</definedName>
    <definedName name="CostoPER" localSheetId="4">'5 Estado de Fuentes y Usos'!$F$28</definedName>
    <definedName name="CostoPER" localSheetId="8">'9 Ingresos'!#REF!</definedName>
    <definedName name="CostoPER">#REF!</definedName>
    <definedName name="INDIRECTOS">#REF!</definedName>
    <definedName name="indirectos1">#REF!</definedName>
    <definedName name="INIDIRECTOS">#REF!</definedName>
    <definedName name="MATERIALES">#REF!</definedName>
    <definedName name="preciolt">#REF!</definedName>
    <definedName name="rendimiento">#REF!</definedName>
    <definedName name="_xlnm.Print_Titles" localSheetId="0">'1 Indicadores'!$A:$C</definedName>
    <definedName name="_xlnm.Print_Titles" localSheetId="9">'10 Gastos  Admon y Ventas'!$A:$C</definedName>
    <definedName name="_xlnm.Print_Titles" localSheetId="10">'11 Gastos de Operación'!$A:$C</definedName>
    <definedName name="_xlnm.Print_Titles" localSheetId="11">'12 Costo Materias Primas'!$A:$A</definedName>
    <definedName name="_xlnm.Print_Titles" localSheetId="12">'13 Costo Personal d Operaciones'!$A:$D</definedName>
    <definedName name="_xlnm.Print_Titles" localSheetId="14">'15 Crédito Refaccionario'!$A:$A</definedName>
    <definedName name="_xlnm.Print_Titles" localSheetId="15">'16 Crédito de Avio'!$A:$A</definedName>
    <definedName name="_xlnm.Print_Titles" localSheetId="2">'3 Balance'!$A:$C</definedName>
    <definedName name="_xlnm.Print_Titles" localSheetId="3">'4 Estado de Resultados'!$A:$C</definedName>
    <definedName name="_xlnm.Print_Titles" localSheetId="4">'5 Estado de Fuentes y Usos'!$A:$B</definedName>
    <definedName name="_xlnm.Print_Titles" localSheetId="7">'8 Programa de Inversiónes'!$A:$C</definedName>
    <definedName name="_xlnm.Print_Titles" localSheetId="8">'9 Ingresos'!$A:$C</definedName>
    <definedName name="Vacas" localSheetId="9">'10 Gastos  Admon y Ventas'!#REF!</definedName>
    <definedName name="Vacas" localSheetId="10">'11 Gastos de Operación'!#REF!</definedName>
    <definedName name="Vacas" localSheetId="11">'12 Costo Materias Primas'!#REF!</definedName>
    <definedName name="Vacas" localSheetId="12">'13 Costo Personal d Operaciones'!#REF!</definedName>
    <definedName name="Vacas" localSheetId="2">'3 Balance'!#REF!</definedName>
    <definedName name="Vacas" localSheetId="3">'4 Estado de Resultados'!#REF!</definedName>
    <definedName name="Vacas" localSheetId="4">'5 Estado de Fuentes y Usos'!#REF!</definedName>
    <definedName name="Vacas" localSheetId="8">'9 Ingresos'!#REF!</definedName>
    <definedName name="Vacas">#REF!</definedName>
    <definedName name="Z_8FC2DB0D_4D0A_11D3_9924_0080ADC9B26E_.wvu.Cols" localSheetId="3" hidden="1">'4 Estado de Resultados'!$B:$B</definedName>
    <definedName name="Z_8FC2DB0D_4D0A_11D3_9924_0080ADC9B26E_.wvu.PrintArea" localSheetId="9" hidden="1">'10 Gastos  Admon y Ventas'!$A$1:$U$41</definedName>
    <definedName name="Z_8FC2DB0D_4D0A_11D3_9924_0080ADC9B26E_.wvu.PrintArea" localSheetId="10" hidden="1">'11 Gastos de Operación'!$A$1:$T$24</definedName>
    <definedName name="Z_8FC2DB0D_4D0A_11D3_9924_0080ADC9B26E_.wvu.PrintArea" localSheetId="11" hidden="1">'12 Costo Materias Primas'!$A$1:$S$23</definedName>
    <definedName name="Z_8FC2DB0D_4D0A_11D3_9924_0080ADC9B26E_.wvu.PrintArea" localSheetId="12" hidden="1">'13 Costo Personal d Operaciones'!$A$1:$U$16</definedName>
    <definedName name="Z_8FC2DB0D_4D0A_11D3_9924_0080ADC9B26E_.wvu.PrintArea" localSheetId="13" hidden="1">'14 Cedula de Depreciaciones'!$A$1:$E$36</definedName>
    <definedName name="Z_8FC2DB0D_4D0A_11D3_9924_0080ADC9B26E_.wvu.PrintArea" localSheetId="14" hidden="1">'15 Crédito Refaccionario'!$A$1:$D$36</definedName>
    <definedName name="Z_8FC2DB0D_4D0A_11D3_9924_0080ADC9B26E_.wvu.PrintArea" localSheetId="15" hidden="1">'16 Crédito de Avio'!$A$1:$D$36</definedName>
    <definedName name="Z_8FC2DB0D_4D0A_11D3_9924_0080ADC9B26E_.wvu.PrintArea" localSheetId="2" hidden="1">'3 Balance'!$A$5:$T$61</definedName>
    <definedName name="Z_8FC2DB0D_4D0A_11D3_9924_0080ADC9B26E_.wvu.PrintArea" localSheetId="3" hidden="1">'4 Estado de Resultados'!$A$3:$S$28</definedName>
    <definedName name="Z_8FC2DB0D_4D0A_11D3_9924_0080ADC9B26E_.wvu.PrintArea" localSheetId="4" hidden="1">'5 Estado de Fuentes y Usos'!$A$5:$S$66</definedName>
    <definedName name="Z_8FC2DB0D_4D0A_11D3_9924_0080ADC9B26E_.wvu.PrintArea" localSheetId="5" hidden="1">'6 Estructura del Capital'!$A$1:$C$41</definedName>
    <definedName name="Z_8FC2DB0D_4D0A_11D3_9924_0080ADC9B26E_.wvu.PrintArea" localSheetId="7" hidden="1">'8 Programa de Inversiónes'!$A$1:$E$55</definedName>
    <definedName name="Z_8FC2DB0D_4D0A_11D3_9924_0080ADC9B26E_.wvu.PrintArea" localSheetId="8" hidden="1">'9 Ingresos'!$A$1:$T$22</definedName>
    <definedName name="Z_8FC2DB0D_4D0A_11D3_9924_0080ADC9B26E_.wvu.Rows" localSheetId="10" hidden="1">'11 Gastos de Operación'!$3:$3</definedName>
    <definedName name="Z_8FC2DB0D_4D0A_11D3_9924_0080ADC9B26E_.wvu.Rows" localSheetId="12" hidden="1">'13 Costo Personal d Operaciones'!$3:$3</definedName>
    <definedName name="Z_8FC2DB0D_4D0A_11D3_9924_0080ADC9B26E_.wvu.Rows" localSheetId="2" hidden="1">'3 Balance'!$7:$7</definedName>
    <definedName name="Z_8FC2DB0D_4D0A_11D3_9924_0080ADC9B26E_.wvu.Rows" localSheetId="3" hidden="1">'4 Estado de Resultados'!$5:$5</definedName>
    <definedName name="Z_8FC2DB0D_4D0A_11D3_9924_0080ADC9B26E_.wvu.Rows" localSheetId="4" hidden="1">'5 Estado de Fuentes y Usos'!$7:$7</definedName>
    <definedName name="Z_8FC2DB0D_4D0A_11D3_9924_0080ADC9B26E_.wvu.Rows" localSheetId="8" hidden="1">'9 Ingresos'!$3:$3</definedName>
  </definedNames>
  <calcPr calcId="171027" concurrentCalc="0"/>
  <customWorkbookViews>
    <customWorkbookView name="MADS - Vista personalizada" guid="{8FC2DB0D-4D0A-11D3-9924-0080ADC9B26E}" autoUpdate="1" mergeInterval="15" personalView="1" maximized="1" windowWidth="796" windowHeight="438" tabRatio="601" activeSheetId="1"/>
  </customWorkbookViews>
</workbook>
</file>

<file path=xl/calcChain.xml><?xml version="1.0" encoding="utf-8"?>
<calcChain xmlns="http://schemas.openxmlformats.org/spreadsheetml/2006/main">
  <c r="P36" i="21" l="1"/>
  <c r="AC36" i="21"/>
  <c r="O36" i="21"/>
  <c r="B19" i="6"/>
  <c r="B43" i="8"/>
  <c r="A50" i="8"/>
  <c r="A49" i="8"/>
  <c r="D20" i="7"/>
  <c r="D21" i="7"/>
  <c r="E20" i="7"/>
  <c r="E21" i="7"/>
  <c r="F20" i="7"/>
  <c r="F21" i="7"/>
  <c r="G20" i="7"/>
  <c r="G21" i="7"/>
  <c r="C20" i="7"/>
  <c r="H20" i="7"/>
  <c r="H21" i="7"/>
  <c r="I20" i="7"/>
  <c r="I21" i="7"/>
  <c r="J20" i="7"/>
  <c r="J21" i="7"/>
  <c r="K20" i="7"/>
  <c r="K21" i="7"/>
  <c r="L20" i="7"/>
  <c r="L21" i="7"/>
  <c r="M20" i="7"/>
  <c r="M21" i="7"/>
  <c r="N20" i="7"/>
  <c r="N21" i="7"/>
  <c r="O20" i="7"/>
  <c r="O21" i="7"/>
  <c r="O29" i="7"/>
  <c r="B18" i="7"/>
  <c r="E9" i="5"/>
  <c r="E10" i="43"/>
  <c r="D2" i="43"/>
  <c r="E53" i="8"/>
  <c r="C43" i="8"/>
  <c r="C19" i="6"/>
  <c r="D263" i="43"/>
  <c r="E263" i="43"/>
  <c r="F263" i="43"/>
  <c r="G263" i="43"/>
  <c r="H263" i="43"/>
  <c r="I263" i="43"/>
  <c r="J263" i="43"/>
  <c r="K263" i="43"/>
  <c r="L263" i="43"/>
  <c r="M263" i="43"/>
  <c r="N263" i="43"/>
  <c r="D210" i="43"/>
  <c r="E210" i="43"/>
  <c r="F210" i="43"/>
  <c r="G210" i="43"/>
  <c r="H210" i="43"/>
  <c r="I210" i="43"/>
  <c r="J210" i="43"/>
  <c r="K210" i="43"/>
  <c r="L210" i="43"/>
  <c r="M210" i="43"/>
  <c r="N210" i="43"/>
  <c r="D164" i="43"/>
  <c r="E164" i="43"/>
  <c r="F164" i="43"/>
  <c r="G164" i="43"/>
  <c r="H164" i="43"/>
  <c r="I164" i="43"/>
  <c r="J164" i="43"/>
  <c r="K164" i="43"/>
  <c r="L164" i="43"/>
  <c r="M164" i="43"/>
  <c r="N164" i="43"/>
  <c r="D141" i="43"/>
  <c r="E141" i="43"/>
  <c r="F141" i="43"/>
  <c r="G141" i="43"/>
  <c r="H141" i="43"/>
  <c r="I141" i="43"/>
  <c r="J141" i="43"/>
  <c r="K141" i="43"/>
  <c r="L141" i="43"/>
  <c r="M141" i="43"/>
  <c r="N141" i="43"/>
  <c r="D99" i="43"/>
  <c r="E99" i="43"/>
  <c r="F99" i="43"/>
  <c r="G99" i="43"/>
  <c r="H99" i="43"/>
  <c r="I99" i="43"/>
  <c r="J99" i="43"/>
  <c r="K99" i="43"/>
  <c r="L99" i="43"/>
  <c r="M99" i="43"/>
  <c r="N99" i="43"/>
  <c r="D37" i="43"/>
  <c r="E37" i="43"/>
  <c r="F37" i="43"/>
  <c r="G37" i="43"/>
  <c r="H37" i="43"/>
  <c r="I37" i="43"/>
  <c r="J37" i="43"/>
  <c r="K37" i="43"/>
  <c r="L37" i="43"/>
  <c r="M37" i="43"/>
  <c r="N37" i="43"/>
  <c r="C27" i="9"/>
  <c r="C35" i="9"/>
  <c r="C45" i="9"/>
  <c r="B13" i="15"/>
  <c r="B24" i="15"/>
  <c r="J13" i="43"/>
  <c r="AM58" i="16"/>
  <c r="F30" i="9"/>
  <c r="J30" i="9"/>
  <c r="J31" i="9"/>
  <c r="J32" i="9"/>
  <c r="J35" i="9"/>
  <c r="G30" i="9"/>
  <c r="I30" i="9"/>
  <c r="I33" i="9"/>
  <c r="F34" i="9"/>
  <c r="I34" i="9"/>
  <c r="I35" i="9"/>
  <c r="C22" i="16"/>
  <c r="E33" i="43"/>
  <c r="M45" i="9"/>
  <c r="L45" i="9"/>
  <c r="K45" i="9"/>
  <c r="I45" i="9"/>
  <c r="H45" i="9"/>
  <c r="G45" i="9"/>
  <c r="E45" i="9"/>
  <c r="D45" i="9"/>
  <c r="M32" i="9"/>
  <c r="M31" i="9"/>
  <c r="E36" i="8"/>
  <c r="E35" i="8"/>
  <c r="E34" i="8"/>
  <c r="E33" i="8"/>
  <c r="E32" i="8"/>
  <c r="E31" i="8"/>
  <c r="E22" i="8"/>
  <c r="R19" i="8"/>
  <c r="S19" i="8"/>
  <c r="U19" i="8"/>
  <c r="V19" i="8"/>
  <c r="W19" i="8"/>
  <c r="Y19" i="8"/>
  <c r="AB19" i="8"/>
  <c r="AC19" i="8"/>
  <c r="F21" i="8"/>
  <c r="E21" i="8"/>
  <c r="E20" i="8"/>
  <c r="E16" i="8"/>
  <c r="E15" i="8"/>
  <c r="E11" i="8"/>
  <c r="E10" i="8"/>
  <c r="E9" i="8"/>
  <c r="E8" i="8"/>
  <c r="F7" i="8"/>
  <c r="E7" i="8"/>
  <c r="AB18" i="7"/>
  <c r="AA18" i="7"/>
  <c r="Y18" i="7"/>
  <c r="X18" i="7"/>
  <c r="W18" i="7"/>
  <c r="V18" i="7"/>
  <c r="R18" i="7"/>
  <c r="Q18" i="7"/>
  <c r="AB17" i="7"/>
  <c r="AA17" i="7"/>
  <c r="Z17" i="7"/>
  <c r="Y17" i="7"/>
  <c r="X17" i="7"/>
  <c r="W17" i="7"/>
  <c r="V17" i="7"/>
  <c r="U17" i="7"/>
  <c r="S17" i="7"/>
  <c r="R17" i="7"/>
  <c r="Q17" i="7"/>
  <c r="X12" i="7"/>
  <c r="Y12" i="7"/>
  <c r="AA12" i="7"/>
  <c r="AB12" i="7"/>
  <c r="Q12" i="7"/>
  <c r="R12" i="7"/>
  <c r="S12" i="7"/>
  <c r="U12" i="7"/>
  <c r="V12" i="7"/>
  <c r="AB6" i="7"/>
  <c r="AA6" i="7"/>
  <c r="Z6" i="7"/>
  <c r="Y6" i="7"/>
  <c r="X6" i="7"/>
  <c r="W6" i="7"/>
  <c r="V6" i="7"/>
  <c r="U6" i="7"/>
  <c r="T6" i="7"/>
  <c r="S6" i="7"/>
  <c r="R6" i="7"/>
  <c r="Q6" i="7"/>
  <c r="D19" i="7"/>
  <c r="B19" i="8"/>
  <c r="D16" i="7"/>
  <c r="D13" i="7"/>
  <c r="D11" i="7"/>
  <c r="D10" i="7"/>
  <c r="D9" i="7"/>
  <c r="D7" i="7"/>
  <c r="D8" i="7"/>
  <c r="E13" i="6"/>
  <c r="E12" i="6"/>
  <c r="E11" i="6"/>
  <c r="E10" i="6"/>
  <c r="E9" i="6"/>
  <c r="E8" i="6"/>
  <c r="E7" i="6"/>
  <c r="AC6" i="6"/>
  <c r="AB6" i="6"/>
  <c r="AA6" i="6"/>
  <c r="Z6" i="6"/>
  <c r="Y6" i="6"/>
  <c r="X6" i="6"/>
  <c r="W6" i="6"/>
  <c r="V6" i="6"/>
  <c r="U6" i="6"/>
  <c r="T6" i="6"/>
  <c r="S6" i="6"/>
  <c r="R6" i="6"/>
  <c r="C26" i="42"/>
  <c r="B12" i="42"/>
  <c r="B11" i="42"/>
  <c r="B10" i="42"/>
  <c r="B9" i="42"/>
  <c r="B8" i="42"/>
  <c r="A9" i="42"/>
  <c r="A19" i="42"/>
  <c r="B10" i="22"/>
  <c r="A11" i="42"/>
  <c r="A21" i="42"/>
  <c r="B12" i="22"/>
  <c r="A8" i="42"/>
  <c r="A10" i="42"/>
  <c r="A20" i="42"/>
  <c r="B11" i="22"/>
  <c r="A12" i="42"/>
  <c r="N6" i="42"/>
  <c r="AA6" i="42"/>
  <c r="M6" i="42"/>
  <c r="Z6" i="42"/>
  <c r="L6" i="42"/>
  <c r="Y6" i="42"/>
  <c r="K6" i="42"/>
  <c r="X6" i="42"/>
  <c r="J6" i="42"/>
  <c r="W6" i="42"/>
  <c r="I6" i="42"/>
  <c r="V6" i="42"/>
  <c r="H6" i="42"/>
  <c r="U6" i="42"/>
  <c r="G6" i="42"/>
  <c r="T6" i="42"/>
  <c r="F6" i="42"/>
  <c r="S6" i="42"/>
  <c r="E6" i="42"/>
  <c r="R6" i="42"/>
  <c r="D6" i="42"/>
  <c r="Q6" i="42"/>
  <c r="C6" i="42"/>
  <c r="P6" i="42"/>
  <c r="D24" i="5"/>
  <c r="AD10" i="5"/>
  <c r="B11" i="5"/>
  <c r="X11" i="5"/>
  <c r="W11" i="42"/>
  <c r="V11" i="5"/>
  <c r="U11" i="42"/>
  <c r="B10" i="5"/>
  <c r="AB10" i="5"/>
  <c r="AA10" i="42"/>
  <c r="Z10" i="5"/>
  <c r="Y10" i="42"/>
  <c r="T10" i="5"/>
  <c r="S10" i="42"/>
  <c r="R10" i="5"/>
  <c r="Q10" i="42"/>
  <c r="B8" i="5"/>
  <c r="B9" i="5"/>
  <c r="X9" i="5"/>
  <c r="W9" i="42"/>
  <c r="AB8" i="5"/>
  <c r="AA8" i="42"/>
  <c r="Z8" i="5"/>
  <c r="Y8" i="42"/>
  <c r="T8" i="5"/>
  <c r="S8" i="42"/>
  <c r="R8" i="5"/>
  <c r="Q8" i="42"/>
  <c r="AB7" i="5"/>
  <c r="AA7" i="42"/>
  <c r="AA7" i="5"/>
  <c r="Z7" i="42"/>
  <c r="Z7" i="5"/>
  <c r="Y7" i="42"/>
  <c r="Y7" i="5"/>
  <c r="X7" i="42"/>
  <c r="X7" i="5"/>
  <c r="W7" i="42"/>
  <c r="W7" i="5"/>
  <c r="V7" i="42"/>
  <c r="V7" i="5"/>
  <c r="U7" i="42"/>
  <c r="U7" i="5"/>
  <c r="T7" i="42"/>
  <c r="T7" i="5"/>
  <c r="S7" i="42"/>
  <c r="S7" i="5"/>
  <c r="R7" i="42"/>
  <c r="R7" i="5"/>
  <c r="Q7" i="42"/>
  <c r="Q7" i="5"/>
  <c r="P7" i="42"/>
  <c r="D12" i="5"/>
  <c r="C12" i="42"/>
  <c r="D11" i="5"/>
  <c r="C11" i="42"/>
  <c r="D10" i="5"/>
  <c r="C10" i="42"/>
  <c r="D9" i="5"/>
  <c r="C9" i="42"/>
  <c r="D8" i="5"/>
  <c r="C8" i="42"/>
  <c r="D7" i="5"/>
  <c r="C7" i="42"/>
  <c r="B12" i="5"/>
  <c r="AA12" i="5"/>
  <c r="Z12" i="42"/>
  <c r="W11" i="5"/>
  <c r="V11" i="42"/>
  <c r="W9" i="5"/>
  <c r="V9" i="42"/>
  <c r="AA10" i="5"/>
  <c r="Z10" i="42"/>
  <c r="AA8" i="5"/>
  <c r="Z8" i="42"/>
  <c r="N12" i="44"/>
  <c r="N11" i="44"/>
  <c r="P39" i="44"/>
  <c r="P38" i="44"/>
  <c r="U8" i="5"/>
  <c r="T8" i="42"/>
  <c r="Q9" i="5"/>
  <c r="P9" i="42"/>
  <c r="Y9" i="5"/>
  <c r="X9" i="42"/>
  <c r="U10" i="5"/>
  <c r="T10" i="42"/>
  <c r="Q11" i="5"/>
  <c r="P11" i="42"/>
  <c r="Y11" i="5"/>
  <c r="X11" i="42"/>
  <c r="U12" i="5"/>
  <c r="T12" i="42"/>
  <c r="T12" i="5"/>
  <c r="S12" i="42"/>
  <c r="V8" i="5"/>
  <c r="U8" i="42"/>
  <c r="R9" i="5"/>
  <c r="Q9" i="42"/>
  <c r="Z9" i="5"/>
  <c r="Y9" i="42"/>
  <c r="V10" i="5"/>
  <c r="U10" i="42"/>
  <c r="R11" i="5"/>
  <c r="Q11" i="42"/>
  <c r="Z11" i="5"/>
  <c r="Y11" i="42"/>
  <c r="V12" i="5"/>
  <c r="U12" i="42"/>
  <c r="W8" i="5"/>
  <c r="V8" i="42"/>
  <c r="S9" i="5"/>
  <c r="R9" i="42"/>
  <c r="AA9" i="5"/>
  <c r="Z9" i="42"/>
  <c r="W10" i="5"/>
  <c r="V10" i="42"/>
  <c r="S11" i="5"/>
  <c r="R11" i="42"/>
  <c r="AA11" i="5"/>
  <c r="Z11" i="42"/>
  <c r="W12" i="5"/>
  <c r="V12" i="42"/>
  <c r="X8" i="5"/>
  <c r="W8" i="42"/>
  <c r="T9" i="5"/>
  <c r="S9" i="42"/>
  <c r="AB9" i="5"/>
  <c r="AA9" i="42"/>
  <c r="X10" i="5"/>
  <c r="W10" i="42"/>
  <c r="T11" i="5"/>
  <c r="S11" i="42"/>
  <c r="AB11" i="5"/>
  <c r="AA11" i="42"/>
  <c r="X12" i="5"/>
  <c r="W12" i="42"/>
  <c r="Q8" i="5"/>
  <c r="P8" i="42"/>
  <c r="Y8" i="5"/>
  <c r="X8" i="42"/>
  <c r="U9" i="5"/>
  <c r="T9" i="42"/>
  <c r="Q10" i="5"/>
  <c r="Y10" i="5"/>
  <c r="X10" i="42"/>
  <c r="U11" i="5"/>
  <c r="T11" i="42"/>
  <c r="Q12" i="5"/>
  <c r="P12" i="42"/>
  <c r="Y12" i="5"/>
  <c r="X12" i="42"/>
  <c r="AB12" i="5"/>
  <c r="AA12" i="42"/>
  <c r="V9" i="5"/>
  <c r="U9" i="42"/>
  <c r="R12" i="5"/>
  <c r="Q12" i="42"/>
  <c r="Z12" i="5"/>
  <c r="Y12" i="42"/>
  <c r="S8" i="5"/>
  <c r="R8" i="42"/>
  <c r="S10" i="5"/>
  <c r="R10" i="42"/>
  <c r="S12" i="5"/>
  <c r="R12" i="42"/>
  <c r="D46" i="45"/>
  <c r="G46" i="45"/>
  <c r="B4" i="45"/>
  <c r="AF4" i="45"/>
  <c r="AI23" i="45"/>
  <c r="C23" i="45"/>
  <c r="D23" i="45"/>
  <c r="AG23" i="45"/>
  <c r="AH23" i="45"/>
  <c r="AF23" i="45"/>
  <c r="E23" i="45"/>
  <c r="AB9" i="42"/>
  <c r="AD9" i="42"/>
  <c r="P10" i="42"/>
  <c r="AC10" i="5"/>
  <c r="AE10" i="5"/>
  <c r="AF10" i="5"/>
  <c r="AG10" i="5"/>
  <c r="AH10" i="5"/>
  <c r="AI10" i="5"/>
  <c r="AJ10" i="5"/>
  <c r="AK10" i="5"/>
  <c r="AL10" i="5"/>
  <c r="AM10" i="5"/>
  <c r="Z4" i="45"/>
  <c r="Z5" i="45"/>
  <c r="N4" i="45"/>
  <c r="AL4" i="45"/>
  <c r="T4" i="45"/>
  <c r="T5" i="45"/>
  <c r="T20" i="45"/>
  <c r="H4" i="45"/>
  <c r="H5" i="45"/>
  <c r="D43" i="45"/>
  <c r="G43" i="45"/>
  <c r="D42" i="45"/>
  <c r="G42" i="45"/>
  <c r="D41" i="45"/>
  <c r="G41" i="45"/>
  <c r="D40" i="45"/>
  <c r="G40" i="45"/>
  <c r="D39" i="45"/>
  <c r="G39" i="45"/>
  <c r="D38" i="45"/>
  <c r="G38" i="45"/>
  <c r="D37" i="45"/>
  <c r="G37" i="45"/>
  <c r="D36" i="45"/>
  <c r="G36" i="45"/>
  <c r="D35" i="45"/>
  <c r="G35" i="45"/>
  <c r="D34" i="45"/>
  <c r="G34" i="45"/>
  <c r="D33" i="45"/>
  <c r="G33" i="45"/>
  <c r="D32" i="45"/>
  <c r="G32" i="45"/>
  <c r="D31" i="45"/>
  <c r="G31" i="45"/>
  <c r="D30" i="45"/>
  <c r="G30" i="45"/>
  <c r="D29" i="45"/>
  <c r="G29" i="45"/>
  <c r="AL8" i="45"/>
  <c r="AF8" i="45"/>
  <c r="Z8" i="45"/>
  <c r="T8" i="45"/>
  <c r="N8" i="45"/>
  <c r="H8" i="45"/>
  <c r="B8" i="45"/>
  <c r="B5" i="45"/>
  <c r="B20" i="45"/>
  <c r="AF5" i="45"/>
  <c r="N5" i="45"/>
  <c r="B23" i="45"/>
  <c r="AL5" i="45"/>
  <c r="AL20" i="45"/>
  <c r="AM23" i="45"/>
  <c r="AN23" i="45"/>
  <c r="AO23" i="45"/>
  <c r="Q23" i="45"/>
  <c r="O23" i="45"/>
  <c r="P23" i="45"/>
  <c r="AA23" i="45"/>
  <c r="AB23" i="45"/>
  <c r="AC23" i="45"/>
  <c r="K23" i="45"/>
  <c r="I23" i="45"/>
  <c r="J23" i="45"/>
  <c r="W23" i="45"/>
  <c r="U23" i="45"/>
  <c r="V23" i="45"/>
  <c r="T23" i="45"/>
  <c r="W21" i="45"/>
  <c r="V21" i="45"/>
  <c r="U21" i="45"/>
  <c r="C21" i="45"/>
  <c r="E21" i="45"/>
  <c r="D21" i="45"/>
  <c r="B7" i="45"/>
  <c r="AL7" i="45"/>
  <c r="H20" i="45"/>
  <c r="H7" i="45"/>
  <c r="T6" i="45"/>
  <c r="B6" i="45"/>
  <c r="AL6" i="45"/>
  <c r="N20" i="45"/>
  <c r="N7" i="45"/>
  <c r="Z20" i="45"/>
  <c r="Z7" i="45"/>
  <c r="AF6" i="45"/>
  <c r="AF20" i="45"/>
  <c r="H6" i="45"/>
  <c r="N6" i="45"/>
  <c r="T7" i="45"/>
  <c r="Z6" i="45"/>
  <c r="AF7" i="45"/>
  <c r="H23" i="45"/>
  <c r="N23" i="45"/>
  <c r="AG21" i="45"/>
  <c r="AI21" i="45"/>
  <c r="AH21" i="45"/>
  <c r="AJ21" i="45"/>
  <c r="Z23" i="45"/>
  <c r="F21" i="45"/>
  <c r="B21" i="45"/>
  <c r="AL23" i="45"/>
  <c r="X21" i="45"/>
  <c r="T21" i="45"/>
  <c r="AN21" i="45"/>
  <c r="AM21" i="45"/>
  <c r="AO21" i="45"/>
  <c r="AB21" i="45"/>
  <c r="AA21" i="45"/>
  <c r="AC21" i="45"/>
  <c r="AD21" i="45"/>
  <c r="Q21" i="45"/>
  <c r="P21" i="45"/>
  <c r="O21" i="45"/>
  <c r="K21" i="45"/>
  <c r="J21" i="45"/>
  <c r="I21" i="45"/>
  <c r="AP17" i="45"/>
  <c r="AN13" i="45"/>
  <c r="AP11" i="45"/>
  <c r="AN10" i="45"/>
  <c r="AN17" i="45"/>
  <c r="AP14" i="45"/>
  <c r="AL14" i="45"/>
  <c r="AP18" i="45"/>
  <c r="AL18" i="45"/>
  <c r="AN11" i="45"/>
  <c r="AP15" i="45"/>
  <c r="AL15" i="45"/>
  <c r="AP9" i="45"/>
  <c r="AP13" i="45"/>
  <c r="AP12" i="45"/>
  <c r="AP16" i="45"/>
  <c r="AL16" i="45"/>
  <c r="AN12" i="45"/>
  <c r="AP10" i="45"/>
  <c r="X18" i="45"/>
  <c r="T18" i="45"/>
  <c r="X13" i="45"/>
  <c r="V10" i="45"/>
  <c r="X15" i="45"/>
  <c r="T15" i="45"/>
  <c r="X9" i="45"/>
  <c r="X17" i="45"/>
  <c r="V13" i="45"/>
  <c r="V17" i="45"/>
  <c r="X11" i="45"/>
  <c r="X12" i="45"/>
  <c r="X14" i="45"/>
  <c r="T14" i="45"/>
  <c r="X16" i="45"/>
  <c r="T16" i="45"/>
  <c r="V11" i="45"/>
  <c r="V12" i="45"/>
  <c r="T12" i="45"/>
  <c r="X10" i="45"/>
  <c r="J17" i="45"/>
  <c r="L11" i="45"/>
  <c r="J11" i="45"/>
  <c r="L14" i="45"/>
  <c r="H14" i="45"/>
  <c r="L12" i="45"/>
  <c r="L10" i="45"/>
  <c r="L9" i="45"/>
  <c r="L17" i="45"/>
  <c r="L16" i="45"/>
  <c r="H16" i="45"/>
  <c r="L18" i="45"/>
  <c r="H18" i="45"/>
  <c r="J12" i="45"/>
  <c r="L15" i="45"/>
  <c r="H15" i="45"/>
  <c r="J13" i="45"/>
  <c r="L13" i="45"/>
  <c r="J10" i="45"/>
  <c r="R12" i="45"/>
  <c r="R14" i="45"/>
  <c r="N14" i="45"/>
  <c r="P12" i="45"/>
  <c r="R18" i="45"/>
  <c r="N18" i="45"/>
  <c r="R10" i="45"/>
  <c r="R15" i="45"/>
  <c r="N15" i="45"/>
  <c r="R13" i="45"/>
  <c r="P10" i="45"/>
  <c r="R9" i="45"/>
  <c r="P17" i="45"/>
  <c r="R11" i="45"/>
  <c r="R17" i="45"/>
  <c r="P13" i="45"/>
  <c r="R16" i="45"/>
  <c r="N16" i="45"/>
  <c r="P11" i="45"/>
  <c r="AB11" i="45"/>
  <c r="AD16" i="45"/>
  <c r="Z16" i="45"/>
  <c r="AD12" i="45"/>
  <c r="AD14" i="45"/>
  <c r="Z14" i="45"/>
  <c r="AB12" i="45"/>
  <c r="AD10" i="45"/>
  <c r="AD15" i="45"/>
  <c r="Z15" i="45"/>
  <c r="AD11" i="45"/>
  <c r="AD9" i="45"/>
  <c r="AD13" i="45"/>
  <c r="AB10" i="45"/>
  <c r="AB17" i="45"/>
  <c r="AD18" i="45"/>
  <c r="Z18" i="45"/>
  <c r="AD17" i="45"/>
  <c r="AB13" i="45"/>
  <c r="F10" i="45"/>
  <c r="F13" i="45"/>
  <c r="D10" i="45"/>
  <c r="F16" i="45"/>
  <c r="B16" i="45"/>
  <c r="F17" i="45"/>
  <c r="D13" i="45"/>
  <c r="D17" i="45"/>
  <c r="F11" i="45"/>
  <c r="F14" i="45"/>
  <c r="B14" i="45"/>
  <c r="D11" i="45"/>
  <c r="F15" i="45"/>
  <c r="B15" i="45"/>
  <c r="D12" i="45"/>
  <c r="F9" i="45"/>
  <c r="F18" i="45"/>
  <c r="B18" i="45"/>
  <c r="F12" i="45"/>
  <c r="AH12" i="45"/>
  <c r="AJ10" i="45"/>
  <c r="AJ13" i="45"/>
  <c r="AH10" i="45"/>
  <c r="AJ17" i="45"/>
  <c r="AJ14" i="45"/>
  <c r="AF14" i="45"/>
  <c r="AH13" i="45"/>
  <c r="AJ15" i="45"/>
  <c r="AF15" i="45"/>
  <c r="AJ18" i="45"/>
  <c r="AF18" i="45"/>
  <c r="AH17" i="45"/>
  <c r="AJ11" i="45"/>
  <c r="AJ9" i="45"/>
  <c r="AH11" i="45"/>
  <c r="AJ16" i="45"/>
  <c r="AF16" i="45"/>
  <c r="AJ12" i="45"/>
  <c r="N12" i="45"/>
  <c r="B12" i="45"/>
  <c r="N17" i="45"/>
  <c r="T17" i="45"/>
  <c r="R21" i="45"/>
  <c r="N21" i="45"/>
  <c r="AP21" i="45"/>
  <c r="AL21" i="45"/>
  <c r="Z21" i="45"/>
  <c r="AN19" i="45"/>
  <c r="AL9" i="45"/>
  <c r="AP19" i="45"/>
  <c r="AF11" i="45"/>
  <c r="AF9" i="45"/>
  <c r="AJ19" i="45"/>
  <c r="AH19" i="45"/>
  <c r="AF21" i="45"/>
  <c r="AB19" i="45"/>
  <c r="Z9" i="45"/>
  <c r="AD19" i="45"/>
  <c r="V19" i="45"/>
  <c r="T22" i="45"/>
  <c r="T9" i="45"/>
  <c r="X19" i="45"/>
  <c r="N9" i="45"/>
  <c r="R19" i="45"/>
  <c r="P19" i="45"/>
  <c r="J19" i="45"/>
  <c r="H9" i="45"/>
  <c r="L19" i="45"/>
  <c r="L21" i="45"/>
  <c r="H21" i="45"/>
  <c r="D19" i="45"/>
  <c r="B22" i="45"/>
  <c r="B9" i="45"/>
  <c r="F19" i="45"/>
  <c r="AF10" i="45"/>
  <c r="AL12" i="45"/>
  <c r="Z11" i="45"/>
  <c r="H10" i="45"/>
  <c r="T11" i="45"/>
  <c r="N11" i="45"/>
  <c r="Z12" i="45"/>
  <c r="H12" i="45"/>
  <c r="AF17" i="45"/>
  <c r="Z10" i="45"/>
  <c r="H13" i="45"/>
  <c r="Z17" i="45"/>
  <c r="B11" i="45"/>
  <c r="AL17" i="45"/>
  <c r="B13" i="45"/>
  <c r="N13" i="45"/>
  <c r="B10" i="45"/>
  <c r="AF12" i="45"/>
  <c r="H11" i="45"/>
  <c r="T10" i="45"/>
  <c r="AL10" i="45"/>
  <c r="AF13" i="45"/>
  <c r="B17" i="45"/>
  <c r="Z13" i="45"/>
  <c r="N10" i="45"/>
  <c r="H17" i="45"/>
  <c r="AL13" i="45"/>
  <c r="T13" i="45"/>
  <c r="AL11" i="45"/>
  <c r="AF22" i="45"/>
  <c r="Z22" i="45"/>
  <c r="AL22" i="45"/>
  <c r="AL19" i="45"/>
  <c r="AF19" i="45"/>
  <c r="AF24" i="45"/>
  <c r="Z19" i="45"/>
  <c r="Z24" i="45"/>
  <c r="T19" i="45"/>
  <c r="T24" i="45"/>
  <c r="N22" i="45"/>
  <c r="N19" i="45"/>
  <c r="H22" i="45"/>
  <c r="H19" i="45"/>
  <c r="H24" i="45"/>
  <c r="B19" i="45"/>
  <c r="B24" i="45"/>
  <c r="D11" i="43"/>
  <c r="N26" i="44"/>
  <c r="O26" i="44"/>
  <c r="F27" i="44"/>
  <c r="G27" i="44"/>
  <c r="I27" i="44"/>
  <c r="K27" i="44"/>
  <c r="L27" i="44"/>
  <c r="M27" i="44"/>
  <c r="D27" i="44"/>
  <c r="E27" i="44"/>
  <c r="B27" i="44"/>
  <c r="H27" i="44"/>
  <c r="N24" i="44"/>
  <c r="O24" i="44"/>
  <c r="D3" i="43"/>
  <c r="N24" i="45"/>
  <c r="G25" i="44"/>
  <c r="H25" i="44"/>
  <c r="J25" i="44"/>
  <c r="I25" i="44"/>
  <c r="C25" i="44"/>
  <c r="K25" i="44"/>
  <c r="L25" i="44"/>
  <c r="E25" i="44"/>
  <c r="B25" i="44"/>
  <c r="D25" i="44"/>
  <c r="M25" i="44"/>
  <c r="F25" i="44"/>
  <c r="AL24" i="45"/>
  <c r="J27" i="44"/>
  <c r="C27" i="44"/>
  <c r="O27" i="44"/>
  <c r="O25" i="44"/>
  <c r="F31" i="43"/>
  <c r="G31" i="43"/>
  <c r="H31" i="43"/>
  <c r="I31" i="43"/>
  <c r="J31" i="43"/>
  <c r="K31" i="43"/>
  <c r="L31" i="43"/>
  <c r="M31" i="43"/>
  <c r="F32" i="43"/>
  <c r="AE9" i="42"/>
  <c r="G32" i="43"/>
  <c r="H32" i="43"/>
  <c r="I32" i="43"/>
  <c r="J32" i="43"/>
  <c r="K32" i="43"/>
  <c r="L32" i="43"/>
  <c r="M32" i="43"/>
  <c r="F33" i="43"/>
  <c r="G33" i="43"/>
  <c r="H33" i="43"/>
  <c r="I33" i="43"/>
  <c r="J33" i="43"/>
  <c r="K33" i="43"/>
  <c r="L33" i="43"/>
  <c r="M33" i="43"/>
  <c r="E31" i="43"/>
  <c r="E32" i="43"/>
  <c r="C47" i="14"/>
  <c r="AC18" i="8"/>
  <c r="AB18" i="8"/>
  <c r="AA18" i="8"/>
  <c r="Y18" i="8"/>
  <c r="X18" i="8"/>
  <c r="W18" i="8"/>
  <c r="U18" i="8"/>
  <c r="S18" i="8"/>
  <c r="AC17" i="8"/>
  <c r="AB17" i="8"/>
  <c r="AA17" i="8"/>
  <c r="Z17" i="8"/>
  <c r="Y17" i="8"/>
  <c r="X17" i="8"/>
  <c r="W17" i="8"/>
  <c r="V17" i="8"/>
  <c r="U17" i="8"/>
  <c r="S17" i="8"/>
  <c r="AC13" i="8"/>
  <c r="AB13" i="8"/>
  <c r="AA13" i="8"/>
  <c r="Y13" i="8"/>
  <c r="W13" i="8"/>
  <c r="V13" i="8"/>
  <c r="U13" i="8"/>
  <c r="S13" i="8"/>
  <c r="R13" i="8"/>
  <c r="AB12" i="8"/>
  <c r="Z12" i="8"/>
  <c r="Y12" i="8"/>
  <c r="X12" i="8"/>
  <c r="U12" i="8"/>
  <c r="R12" i="8"/>
  <c r="AF9" i="42"/>
  <c r="D10" i="43"/>
  <c r="AG9" i="42"/>
  <c r="N16" i="15"/>
  <c r="M16" i="15"/>
  <c r="L16" i="15"/>
  <c r="K16" i="15"/>
  <c r="J16" i="15"/>
  <c r="I16" i="15"/>
  <c r="H16" i="15"/>
  <c r="G16" i="15"/>
  <c r="F16" i="15"/>
  <c r="E16" i="15"/>
  <c r="D16" i="15"/>
  <c r="C16" i="15"/>
  <c r="C46" i="14"/>
  <c r="CT43" i="23"/>
  <c r="CT42" i="23"/>
  <c r="DB43" i="23"/>
  <c r="DB42" i="23"/>
  <c r="AJ46" i="15"/>
  <c r="AK46" i="15"/>
  <c r="AL46" i="15"/>
  <c r="A56" i="24"/>
  <c r="A51" i="24"/>
  <c r="Z50" i="24"/>
  <c r="Y50" i="24"/>
  <c r="X50" i="24"/>
  <c r="W50" i="24"/>
  <c r="V50" i="24"/>
  <c r="U50" i="24"/>
  <c r="T50" i="24"/>
  <c r="S50" i="24"/>
  <c r="R50" i="24"/>
  <c r="Q50" i="24"/>
  <c r="P50" i="24"/>
  <c r="O50" i="24"/>
  <c r="Z49" i="24"/>
  <c r="Z51" i="24"/>
  <c r="Y49" i="24"/>
  <c r="Y51" i="24"/>
  <c r="X49" i="24"/>
  <c r="X51" i="24"/>
  <c r="X53" i="24"/>
  <c r="W49" i="24"/>
  <c r="V49" i="24"/>
  <c r="U49" i="24"/>
  <c r="T49" i="24"/>
  <c r="T51" i="24"/>
  <c r="S49" i="24"/>
  <c r="R49" i="24"/>
  <c r="R51" i="24"/>
  <c r="Q49" i="24"/>
  <c r="Q51" i="24"/>
  <c r="P49" i="24"/>
  <c r="P51" i="24"/>
  <c r="P53" i="24"/>
  <c r="O49" i="24"/>
  <c r="AA49" i="24"/>
  <c r="A56" i="23"/>
  <c r="C16" i="43"/>
  <c r="A51" i="23"/>
  <c r="Z50" i="23"/>
  <c r="Y50" i="23"/>
  <c r="X50" i="23"/>
  <c r="W50" i="23"/>
  <c r="V50" i="23"/>
  <c r="U50" i="23"/>
  <c r="T50" i="23"/>
  <c r="S50" i="23"/>
  <c r="R50" i="23"/>
  <c r="Q50" i="23"/>
  <c r="P50" i="23"/>
  <c r="O50" i="23"/>
  <c r="Z49" i="23"/>
  <c r="Y49" i="23"/>
  <c r="X49" i="23"/>
  <c r="W49" i="23"/>
  <c r="W51" i="23"/>
  <c r="V49" i="23"/>
  <c r="V51" i="23"/>
  <c r="U49" i="23"/>
  <c r="U51" i="23"/>
  <c r="T49" i="23"/>
  <c r="T51" i="23"/>
  <c r="S49" i="23"/>
  <c r="R49" i="23"/>
  <c r="R51" i="23"/>
  <c r="Q49" i="23"/>
  <c r="P49" i="23"/>
  <c r="O49" i="23"/>
  <c r="O51" i="23"/>
  <c r="DE43" i="23"/>
  <c r="DE42" i="23"/>
  <c r="DD43" i="23"/>
  <c r="DD42" i="23"/>
  <c r="DC43" i="23"/>
  <c r="DC42" i="23"/>
  <c r="DA43" i="23"/>
  <c r="DA42" i="23"/>
  <c r="CZ43" i="23"/>
  <c r="CZ42" i="23"/>
  <c r="CY43" i="23"/>
  <c r="CY42" i="23"/>
  <c r="CX43" i="23"/>
  <c r="CX42" i="23"/>
  <c r="CW43" i="23"/>
  <c r="CW42" i="23"/>
  <c r="CV43" i="23"/>
  <c r="CV42" i="23"/>
  <c r="CU43" i="23"/>
  <c r="CU42" i="23"/>
  <c r="DE41" i="23"/>
  <c r="DD41" i="23"/>
  <c r="DC41" i="23"/>
  <c r="DB41" i="23"/>
  <c r="DA41" i="23"/>
  <c r="CZ41" i="23"/>
  <c r="CY41" i="23"/>
  <c r="CX41" i="23"/>
  <c r="CW41" i="23"/>
  <c r="CV41" i="23"/>
  <c r="CU41" i="23"/>
  <c r="CT41" i="23"/>
  <c r="C15" i="15"/>
  <c r="C14" i="15"/>
  <c r="F5" i="23"/>
  <c r="AH9" i="42"/>
  <c r="R52" i="24"/>
  <c r="Z52" i="24"/>
  <c r="T52" i="24"/>
  <c r="O51" i="24"/>
  <c r="O53" i="24"/>
  <c r="W51" i="24"/>
  <c r="W53" i="24"/>
  <c r="T53" i="24"/>
  <c r="Q52" i="24"/>
  <c r="Y52" i="24"/>
  <c r="DD44" i="23"/>
  <c r="CV44" i="23"/>
  <c r="P52" i="24"/>
  <c r="X52" i="24"/>
  <c r="S51" i="24"/>
  <c r="S52" i="24"/>
  <c r="U51" i="24"/>
  <c r="U52" i="24"/>
  <c r="Q53" i="24"/>
  <c r="Y53" i="24"/>
  <c r="V51" i="24"/>
  <c r="V53" i="24"/>
  <c r="R53" i="24"/>
  <c r="Z53" i="24"/>
  <c r="AA53" i="24"/>
  <c r="AA50" i="24"/>
  <c r="CY44" i="23"/>
  <c r="DA44" i="23"/>
  <c r="CT44" i="23"/>
  <c r="CU44" i="23"/>
  <c r="DC44" i="23"/>
  <c r="CW44" i="23"/>
  <c r="DE44" i="23"/>
  <c r="R52" i="23"/>
  <c r="S51" i="23"/>
  <c r="S53" i="23"/>
  <c r="Y51" i="23"/>
  <c r="Y53" i="23"/>
  <c r="Z51" i="23"/>
  <c r="Z52" i="23"/>
  <c r="Q51" i="23"/>
  <c r="Q52" i="23"/>
  <c r="R53" i="23"/>
  <c r="T52" i="23"/>
  <c r="U52" i="23"/>
  <c r="V52" i="23"/>
  <c r="O53" i="23"/>
  <c r="O52" i="23"/>
  <c r="W53" i="23"/>
  <c r="W52" i="23"/>
  <c r="AA50" i="23"/>
  <c r="P51" i="23"/>
  <c r="P52" i="23"/>
  <c r="X51" i="23"/>
  <c r="X52" i="23"/>
  <c r="T53" i="23"/>
  <c r="U53" i="23"/>
  <c r="V53" i="23"/>
  <c r="AA49" i="23"/>
  <c r="CZ44" i="23"/>
  <c r="CX44" i="23"/>
  <c r="DB44" i="23"/>
  <c r="A267" i="43"/>
  <c r="A266" i="43"/>
  <c r="A265" i="43"/>
  <c r="A264" i="43"/>
  <c r="AC216" i="43"/>
  <c r="AC222" i="43"/>
  <c r="AC228" i="43"/>
  <c r="AI9" i="42"/>
  <c r="S53" i="24"/>
  <c r="W52" i="24"/>
  <c r="O52" i="24"/>
  <c r="V52" i="24"/>
  <c r="U53" i="24"/>
  <c r="AA51" i="24"/>
  <c r="Z53" i="23"/>
  <c r="AA53" i="23"/>
  <c r="Q53" i="23"/>
  <c r="Y52" i="23"/>
  <c r="AA51" i="23"/>
  <c r="S52" i="23"/>
  <c r="X53" i="23"/>
  <c r="P53" i="23"/>
  <c r="G207" i="43"/>
  <c r="H207" i="43"/>
  <c r="I207" i="43"/>
  <c r="J207" i="43"/>
  <c r="K207" i="43"/>
  <c r="L207" i="43"/>
  <c r="M207" i="43"/>
  <c r="N207" i="43"/>
  <c r="F207" i="43"/>
  <c r="E207" i="43"/>
  <c r="C217" i="43"/>
  <c r="C223" i="43"/>
  <c r="C229" i="43"/>
  <c r="C238" i="43"/>
  <c r="C248" i="43"/>
  <c r="C123" i="43"/>
  <c r="C127" i="43"/>
  <c r="C126" i="43"/>
  <c r="C125" i="43"/>
  <c r="C124" i="43"/>
  <c r="AJ9" i="42"/>
  <c r="AA52" i="24"/>
  <c r="AA52" i="23"/>
  <c r="C273" i="43"/>
  <c r="C254" i="43"/>
  <c r="C221" i="43"/>
  <c r="C220" i="43"/>
  <c r="C219" i="43"/>
  <c r="C225" i="43"/>
  <c r="C218" i="43"/>
  <c r="C224" i="43"/>
  <c r="AK9" i="42"/>
  <c r="C230" i="43"/>
  <c r="C239" i="43"/>
  <c r="C249" i="43"/>
  <c r="C227" i="43"/>
  <c r="C233" i="43"/>
  <c r="C242" i="43"/>
  <c r="C252" i="43"/>
  <c r="C226" i="43"/>
  <c r="C231" i="43"/>
  <c r="C240" i="43"/>
  <c r="C250" i="43"/>
  <c r="C197" i="43"/>
  <c r="C198" i="43"/>
  <c r="C199" i="43"/>
  <c r="C196" i="43"/>
  <c r="C178" i="43"/>
  <c r="C183" i="43"/>
  <c r="C188" i="43"/>
  <c r="C177" i="43"/>
  <c r="C182" i="43"/>
  <c r="C187" i="43"/>
  <c r="C176" i="43"/>
  <c r="C181" i="43"/>
  <c r="C186" i="43"/>
  <c r="C175" i="43"/>
  <c r="C180" i="43"/>
  <c r="C185" i="43"/>
  <c r="C157" i="43"/>
  <c r="C150" i="43"/>
  <c r="C149" i="43"/>
  <c r="C154" i="43"/>
  <c r="C148" i="43"/>
  <c r="C147" i="43"/>
  <c r="C106" i="43"/>
  <c r="C107" i="43"/>
  <c r="C112" i="43"/>
  <c r="C108" i="43"/>
  <c r="C105" i="43"/>
  <c r="C16" i="44"/>
  <c r="J73" i="43"/>
  <c r="H73" i="43"/>
  <c r="G73" i="43"/>
  <c r="K73" i="43"/>
  <c r="I73" i="43"/>
  <c r="E73" i="43"/>
  <c r="F73" i="43"/>
  <c r="D73" i="43"/>
  <c r="C58" i="43"/>
  <c r="C59" i="43"/>
  <c r="C60" i="43"/>
  <c r="C61" i="43"/>
  <c r="C62" i="43"/>
  <c r="C63" i="43"/>
  <c r="C64" i="43"/>
  <c r="C65" i="43"/>
  <c r="C66" i="43"/>
  <c r="C67" i="43"/>
  <c r="C68" i="43"/>
  <c r="C69" i="43"/>
  <c r="C70" i="43"/>
  <c r="C71" i="43"/>
  <c r="C72" i="43"/>
  <c r="N10" i="44"/>
  <c r="N9" i="44"/>
  <c r="A1" i="43"/>
  <c r="C4" i="44"/>
  <c r="D4" i="44"/>
  <c r="E4" i="44"/>
  <c r="F4" i="44"/>
  <c r="G4" i="44"/>
  <c r="H4" i="44"/>
  <c r="I4" i="44"/>
  <c r="J4" i="44"/>
  <c r="K4" i="44"/>
  <c r="D25" i="43"/>
  <c r="C48" i="14"/>
  <c r="AL9" i="42"/>
  <c r="C275" i="43"/>
  <c r="C256" i="43"/>
  <c r="C277" i="43"/>
  <c r="C258" i="43"/>
  <c r="C255" i="43"/>
  <c r="C274" i="43"/>
  <c r="C113" i="43"/>
  <c r="C118" i="43"/>
  <c r="C110" i="43"/>
  <c r="C232" i="43"/>
  <c r="C241" i="43"/>
  <c r="C251" i="43"/>
  <c r="C159" i="43"/>
  <c r="C153" i="43"/>
  <c r="C155" i="43"/>
  <c r="C117" i="43"/>
  <c r="C111" i="43"/>
  <c r="C30" i="44"/>
  <c r="E31" i="44"/>
  <c r="E32" i="44"/>
  <c r="B31" i="44"/>
  <c r="B32" i="44"/>
  <c r="B33" i="44"/>
  <c r="B34" i="44"/>
  <c r="B35" i="44"/>
  <c r="B36" i="44"/>
  <c r="B37" i="44"/>
  <c r="B38" i="44"/>
  <c r="B39" i="44"/>
  <c r="B40" i="44"/>
  <c r="B41" i="44"/>
  <c r="B42" i="44"/>
  <c r="B43" i="44"/>
  <c r="B44" i="44"/>
  <c r="B45" i="44"/>
  <c r="B46" i="44"/>
  <c r="B47" i="44"/>
  <c r="B48" i="44"/>
  <c r="B49" i="44"/>
  <c r="B50" i="44"/>
  <c r="B51" i="44"/>
  <c r="B52" i="44"/>
  <c r="B53" i="44"/>
  <c r="B54" i="44"/>
  <c r="B55" i="44"/>
  <c r="B56" i="44"/>
  <c r="B57" i="44"/>
  <c r="B58" i="44"/>
  <c r="B59" i="44"/>
  <c r="B60" i="44"/>
  <c r="B61" i="44"/>
  <c r="B62" i="44"/>
  <c r="B63" i="44"/>
  <c r="B64" i="44"/>
  <c r="B65" i="44"/>
  <c r="B66" i="44"/>
  <c r="B67" i="44"/>
  <c r="B68" i="44"/>
  <c r="B69" i="44"/>
  <c r="B70" i="44"/>
  <c r="B71" i="44"/>
  <c r="B72" i="44"/>
  <c r="B73" i="44"/>
  <c r="B74" i="44"/>
  <c r="B75" i="44"/>
  <c r="B76" i="44"/>
  <c r="B77" i="44"/>
  <c r="B78" i="44"/>
  <c r="B79" i="44"/>
  <c r="B80" i="44"/>
  <c r="B81" i="44"/>
  <c r="B82" i="44"/>
  <c r="B83" i="44"/>
  <c r="B84" i="44"/>
  <c r="B85" i="44"/>
  <c r="B86" i="44"/>
  <c r="B87" i="44"/>
  <c r="B88" i="44"/>
  <c r="B89" i="44"/>
  <c r="B90" i="44"/>
  <c r="B91" i="44"/>
  <c r="B92" i="44"/>
  <c r="B93" i="44"/>
  <c r="B94" i="44"/>
  <c r="B95" i="44"/>
  <c r="B96" i="44"/>
  <c r="B97" i="44"/>
  <c r="B98" i="44"/>
  <c r="B99" i="44"/>
  <c r="B100" i="44"/>
  <c r="B101" i="44"/>
  <c r="B102" i="44"/>
  <c r="B103" i="44"/>
  <c r="B104" i="44"/>
  <c r="B105" i="44"/>
  <c r="B106" i="44"/>
  <c r="B107" i="44"/>
  <c r="B108" i="44"/>
  <c r="B109" i="44"/>
  <c r="B110" i="44"/>
  <c r="B111" i="44"/>
  <c r="B112" i="44"/>
  <c r="B113" i="44"/>
  <c r="B114" i="44"/>
  <c r="B115" i="44"/>
  <c r="B116" i="44"/>
  <c r="B117" i="44"/>
  <c r="B118" i="44"/>
  <c r="B119" i="44"/>
  <c r="B120" i="44"/>
  <c r="B121" i="44"/>
  <c r="B122" i="44"/>
  <c r="B123" i="44"/>
  <c r="B124" i="44"/>
  <c r="B125" i="44"/>
  <c r="B126" i="44"/>
  <c r="B127" i="44"/>
  <c r="B128" i="44"/>
  <c r="B129" i="44"/>
  <c r="B130" i="44"/>
  <c r="B131" i="44"/>
  <c r="B132" i="44"/>
  <c r="B133" i="44"/>
  <c r="B134" i="44"/>
  <c r="B135" i="44"/>
  <c r="B136" i="44"/>
  <c r="B137" i="44"/>
  <c r="B138" i="44"/>
  <c r="B139" i="44"/>
  <c r="B140" i="44"/>
  <c r="B141" i="44"/>
  <c r="B142" i="44"/>
  <c r="B143" i="44"/>
  <c r="B144" i="44"/>
  <c r="B145" i="44"/>
  <c r="B146" i="44"/>
  <c r="B147" i="44"/>
  <c r="B148" i="44"/>
  <c r="B149" i="44"/>
  <c r="B150" i="44"/>
  <c r="B151" i="44"/>
  <c r="B152" i="44"/>
  <c r="B153" i="44"/>
  <c r="B154" i="44"/>
  <c r="B155" i="44"/>
  <c r="B156" i="44"/>
  <c r="B157" i="44"/>
  <c r="B158" i="44"/>
  <c r="B159" i="44"/>
  <c r="B160" i="44"/>
  <c r="B161" i="44"/>
  <c r="C257" i="43"/>
  <c r="C276" i="43"/>
  <c r="F25" i="43"/>
  <c r="C116" i="43"/>
  <c r="C115" i="43"/>
  <c r="C158" i="43"/>
  <c r="C160" i="43"/>
  <c r="E33" i="44"/>
  <c r="C32" i="44"/>
  <c r="C31" i="44"/>
  <c r="H34" i="9"/>
  <c r="M34" i="9"/>
  <c r="L34" i="9"/>
  <c r="H33" i="9"/>
  <c r="M33" i="9"/>
  <c r="H30" i="9"/>
  <c r="M30" i="9"/>
  <c r="K30" i="9"/>
  <c r="K24" i="9"/>
  <c r="K23" i="9"/>
  <c r="I22" i="9"/>
  <c r="I21" i="9"/>
  <c r="E34" i="44"/>
  <c r="C33" i="44"/>
  <c r="B7" i="42"/>
  <c r="A7" i="42"/>
  <c r="A18" i="5"/>
  <c r="A19" i="5"/>
  <c r="A20" i="5"/>
  <c r="A21" i="5"/>
  <c r="E35" i="44"/>
  <c r="C34" i="44"/>
  <c r="E36" i="44"/>
  <c r="C35" i="44"/>
  <c r="E37" i="44"/>
  <c r="C36" i="44"/>
  <c r="R14" i="7"/>
  <c r="S14" i="7"/>
  <c r="T14" i="7"/>
  <c r="AB14" i="7"/>
  <c r="AA14" i="7"/>
  <c r="Z14" i="7"/>
  <c r="Y14" i="7"/>
  <c r="X14" i="7"/>
  <c r="W14" i="7"/>
  <c r="V14" i="7"/>
  <c r="F38" i="9"/>
  <c r="J38" i="9"/>
  <c r="J45" i="9"/>
  <c r="F45" i="9"/>
  <c r="E38" i="44"/>
  <c r="C37" i="44"/>
  <c r="L6" i="43"/>
  <c r="A18" i="42"/>
  <c r="B9" i="22"/>
  <c r="C18" i="5"/>
  <c r="C22" i="5"/>
  <c r="C21" i="5"/>
  <c r="C20" i="5"/>
  <c r="C19" i="5"/>
  <c r="E39" i="44"/>
  <c r="C38" i="44"/>
  <c r="AB10" i="42"/>
  <c r="AD10" i="42"/>
  <c r="AE10" i="42"/>
  <c r="AF10" i="42"/>
  <c r="AG10" i="42"/>
  <c r="AH10" i="42"/>
  <c r="AI10" i="42"/>
  <c r="AJ10" i="42"/>
  <c r="AK10" i="42"/>
  <c r="AL10" i="42"/>
  <c r="F33" i="9"/>
  <c r="H22" i="9"/>
  <c r="H23" i="9"/>
  <c r="H24" i="9"/>
  <c r="H25" i="9"/>
  <c r="H26" i="9"/>
  <c r="H21" i="9"/>
  <c r="E40" i="44"/>
  <c r="C39" i="44"/>
  <c r="W19" i="5"/>
  <c r="W20" i="5"/>
  <c r="V21" i="5"/>
  <c r="D20" i="5"/>
  <c r="U20" i="5"/>
  <c r="Q20" i="5"/>
  <c r="S20" i="5"/>
  <c r="R20" i="5"/>
  <c r="V20" i="5"/>
  <c r="T20" i="5"/>
  <c r="D19" i="5"/>
  <c r="Q19" i="5"/>
  <c r="U19" i="5"/>
  <c r="S19" i="5"/>
  <c r="R19" i="5"/>
  <c r="V19" i="5"/>
  <c r="T19" i="5"/>
  <c r="D21" i="5"/>
  <c r="Q21" i="5"/>
  <c r="U21" i="5"/>
  <c r="S21" i="5"/>
  <c r="T21" i="5"/>
  <c r="R21" i="5"/>
  <c r="AB8" i="42"/>
  <c r="AD8" i="42"/>
  <c r="AE8" i="42"/>
  <c r="AF8" i="42"/>
  <c r="AG8" i="42"/>
  <c r="AH8" i="42"/>
  <c r="AI8" i="42"/>
  <c r="AJ8" i="42"/>
  <c r="AK8" i="42"/>
  <c r="AL8" i="42"/>
  <c r="R7" i="21"/>
  <c r="AE7" i="21"/>
  <c r="T7" i="21"/>
  <c r="AG7" i="21"/>
  <c r="V7" i="21"/>
  <c r="AI7" i="21"/>
  <c r="X7" i="21"/>
  <c r="AK7" i="21"/>
  <c r="Z7" i="21"/>
  <c r="AB7" i="21"/>
  <c r="W21" i="5"/>
  <c r="E41" i="44"/>
  <c r="C40" i="44"/>
  <c r="G301" i="43"/>
  <c r="G25" i="9"/>
  <c r="M22" i="9"/>
  <c r="I24" i="9"/>
  <c r="M24" i="9"/>
  <c r="I26" i="9"/>
  <c r="M26" i="9"/>
  <c r="M21" i="9"/>
  <c r="I23" i="9"/>
  <c r="M23" i="9"/>
  <c r="D23" i="15"/>
  <c r="E14" i="16"/>
  <c r="F14" i="16"/>
  <c r="G14" i="16"/>
  <c r="H14" i="16"/>
  <c r="I14" i="16"/>
  <c r="J14" i="16"/>
  <c r="K14" i="16"/>
  <c r="L14" i="16"/>
  <c r="M14" i="16"/>
  <c r="N14" i="16"/>
  <c r="O14" i="16"/>
  <c r="E5" i="23"/>
  <c r="G6" i="21"/>
  <c r="D5" i="23"/>
  <c r="F6" i="21"/>
  <c r="C5" i="23"/>
  <c r="E6" i="21"/>
  <c r="B5" i="23"/>
  <c r="D6" i="21"/>
  <c r="E5" i="24"/>
  <c r="G5" i="21"/>
  <c r="D5" i="24"/>
  <c r="F5" i="21"/>
  <c r="C5" i="24"/>
  <c r="E5" i="21"/>
  <c r="B5" i="24"/>
  <c r="D5" i="21"/>
  <c r="A11" i="43"/>
  <c r="A22" i="42"/>
  <c r="B13" i="22"/>
  <c r="A17" i="42"/>
  <c r="B8" i="22"/>
  <c r="C41" i="44"/>
  <c r="E42" i="44"/>
  <c r="X20" i="5"/>
  <c r="F25" i="9"/>
  <c r="D27" i="9"/>
  <c r="Y18" i="5"/>
  <c r="X19" i="5"/>
  <c r="U18" i="5"/>
  <c r="Q18" i="5"/>
  <c r="W18" i="5"/>
  <c r="S18" i="5"/>
  <c r="T18" i="5"/>
  <c r="X18" i="5"/>
  <c r="R18" i="5"/>
  <c r="V18" i="5"/>
  <c r="D18" i="5"/>
  <c r="P14" i="16"/>
  <c r="Q14" i="16"/>
  <c r="R14" i="16"/>
  <c r="S14" i="16"/>
  <c r="T14" i="16"/>
  <c r="U14" i="16"/>
  <c r="V14" i="16"/>
  <c r="W14" i="16"/>
  <c r="X14" i="16"/>
  <c r="Y14" i="16"/>
  <c r="Z14" i="16"/>
  <c r="AA14" i="16"/>
  <c r="AB14" i="16"/>
  <c r="AC14" i="16"/>
  <c r="AE14" i="16"/>
  <c r="O23" i="15"/>
  <c r="AC23" i="15"/>
  <c r="J25" i="9"/>
  <c r="L25" i="9"/>
  <c r="I25" i="9"/>
  <c r="M25" i="9"/>
  <c r="E43" i="44"/>
  <c r="C42" i="44"/>
  <c r="Y21" i="5"/>
  <c r="Y19" i="5"/>
  <c r="X21" i="5"/>
  <c r="Y20" i="5"/>
  <c r="A17" i="5"/>
  <c r="E44" i="44"/>
  <c r="C43" i="44"/>
  <c r="Z21" i="5"/>
  <c r="Z19" i="5"/>
  <c r="Z20" i="5"/>
  <c r="AB7" i="42"/>
  <c r="AD7" i="42"/>
  <c r="AE7" i="42"/>
  <c r="AF7" i="42"/>
  <c r="AG7" i="42"/>
  <c r="AH7" i="42"/>
  <c r="AI7" i="42"/>
  <c r="AJ7" i="42"/>
  <c r="AK7" i="42"/>
  <c r="AL7" i="42"/>
  <c r="Q301" i="43"/>
  <c r="P301" i="43"/>
  <c r="P300" i="43"/>
  <c r="E45" i="44"/>
  <c r="C44" i="44"/>
  <c r="AA21" i="5"/>
  <c r="AA18" i="5"/>
  <c r="Z18" i="5"/>
  <c r="AA19" i="5"/>
  <c r="AA20" i="5"/>
  <c r="AB12" i="42"/>
  <c r="AD12" i="42"/>
  <c r="AE12" i="42"/>
  <c r="AF12" i="42"/>
  <c r="AG12" i="42"/>
  <c r="AH12" i="42"/>
  <c r="AI12" i="42"/>
  <c r="AJ12" i="42"/>
  <c r="AK12" i="42"/>
  <c r="AL12" i="42"/>
  <c r="AB11" i="42"/>
  <c r="AD11" i="42"/>
  <c r="AE11" i="42"/>
  <c r="AF11" i="42"/>
  <c r="AG11" i="42"/>
  <c r="AH11" i="42"/>
  <c r="AI11" i="42"/>
  <c r="AJ11" i="42"/>
  <c r="AK11" i="42"/>
  <c r="AL11" i="42"/>
  <c r="C11" i="9"/>
  <c r="C14" i="16"/>
  <c r="E46" i="44"/>
  <c r="C45" i="44"/>
  <c r="E47" i="44"/>
  <c r="C46" i="44"/>
  <c r="AB20" i="5"/>
  <c r="AC11" i="5"/>
  <c r="AE11" i="5"/>
  <c r="AB19" i="5"/>
  <c r="AC9" i="5"/>
  <c r="AE9" i="5"/>
  <c r="AB21" i="5"/>
  <c r="AC12" i="5"/>
  <c r="AE12" i="5"/>
  <c r="AB18" i="5"/>
  <c r="AC18" i="5"/>
  <c r="AC8" i="5"/>
  <c r="AE8" i="5"/>
  <c r="E48" i="44"/>
  <c r="C47" i="44"/>
  <c r="AE19" i="5"/>
  <c r="AF9" i="5"/>
  <c r="AF8" i="5"/>
  <c r="AE18" i="5"/>
  <c r="AE21" i="5"/>
  <c r="AF12" i="5"/>
  <c r="AE20" i="5"/>
  <c r="AF11" i="5"/>
  <c r="E49" i="44"/>
  <c r="C48" i="44"/>
  <c r="AF20" i="5"/>
  <c r="AG11" i="5"/>
  <c r="AF21" i="5"/>
  <c r="AG12" i="5"/>
  <c r="AG8" i="5"/>
  <c r="AF18" i="5"/>
  <c r="AF19" i="5"/>
  <c r="AG9" i="5"/>
  <c r="E50" i="44"/>
  <c r="C49" i="44"/>
  <c r="AG21" i="5"/>
  <c r="AH12" i="5"/>
  <c r="AG19" i="5"/>
  <c r="AH9" i="5"/>
  <c r="AG18" i="5"/>
  <c r="AH8" i="5"/>
  <c r="AG20" i="5"/>
  <c r="AH11" i="5"/>
  <c r="E51" i="44"/>
  <c r="C50" i="44"/>
  <c r="AH18" i="5"/>
  <c r="AI8" i="5"/>
  <c r="AH19" i="5"/>
  <c r="AI9" i="5"/>
  <c r="AH20" i="5"/>
  <c r="AI11" i="5"/>
  <c r="AH21" i="5"/>
  <c r="AI12" i="5"/>
  <c r="AC24" i="15"/>
  <c r="O24" i="15"/>
  <c r="E52" i="44"/>
  <c r="C51" i="44"/>
  <c r="AI21" i="5"/>
  <c r="AJ12" i="5"/>
  <c r="AI19" i="5"/>
  <c r="AJ9" i="5"/>
  <c r="AI20" i="5"/>
  <c r="AJ11" i="5"/>
  <c r="AI18" i="5"/>
  <c r="AJ8" i="5"/>
  <c r="E53" i="44"/>
  <c r="C52" i="44"/>
  <c r="AJ18" i="5"/>
  <c r="AK8" i="5"/>
  <c r="AJ20" i="5"/>
  <c r="AK11" i="5"/>
  <c r="AJ21" i="5"/>
  <c r="AK12" i="5"/>
  <c r="AJ19" i="5"/>
  <c r="AK9" i="5"/>
  <c r="D3" i="3"/>
  <c r="E54" i="44"/>
  <c r="C53" i="44"/>
  <c r="AK19" i="5"/>
  <c r="AL9" i="5"/>
  <c r="AK21" i="5"/>
  <c r="AL12" i="5"/>
  <c r="AK18" i="5"/>
  <c r="AL8" i="5"/>
  <c r="AK20" i="5"/>
  <c r="AL11" i="5"/>
  <c r="E55" i="44"/>
  <c r="C54" i="44"/>
  <c r="AL20" i="5"/>
  <c r="AM11" i="5"/>
  <c r="AM20" i="5"/>
  <c r="AL18" i="5"/>
  <c r="AM8" i="5"/>
  <c r="AM18" i="5"/>
  <c r="AL19" i="5"/>
  <c r="AM9" i="5"/>
  <c r="AM19" i="5"/>
  <c r="AL21" i="5"/>
  <c r="AM12" i="5"/>
  <c r="AM21" i="5"/>
  <c r="C17" i="5"/>
  <c r="E56" i="44"/>
  <c r="C55" i="44"/>
  <c r="D17" i="5"/>
  <c r="S17" i="5"/>
  <c r="T17" i="5"/>
  <c r="R17" i="5"/>
  <c r="E57" i="44"/>
  <c r="C56" i="44"/>
  <c r="AC19" i="5"/>
  <c r="AC20" i="5"/>
  <c r="AC21" i="5"/>
  <c r="E58" i="44"/>
  <c r="C57" i="44"/>
  <c r="D10" i="9"/>
  <c r="U4" i="21"/>
  <c r="E59" i="44"/>
  <c r="C58" i="44"/>
  <c r="AD13" i="5"/>
  <c r="E60" i="44"/>
  <c r="C59" i="44"/>
  <c r="C21" i="43"/>
  <c r="AK21" i="14"/>
  <c r="AJ45" i="15"/>
  <c r="AL21" i="14"/>
  <c r="AK45" i="15"/>
  <c r="AM21" i="14"/>
  <c r="AL45" i="15"/>
  <c r="C40" i="23"/>
  <c r="D40" i="23"/>
  <c r="E40" i="23"/>
  <c r="F40" i="23"/>
  <c r="G40" i="23"/>
  <c r="H40" i="23"/>
  <c r="I40" i="23"/>
  <c r="J40" i="23"/>
  <c r="K40" i="23"/>
  <c r="L40" i="23"/>
  <c r="M40" i="23"/>
  <c r="O40" i="23"/>
  <c r="P40" i="23"/>
  <c r="Q40" i="23"/>
  <c r="R40" i="23"/>
  <c r="S40" i="23"/>
  <c r="T40" i="23"/>
  <c r="U40" i="23"/>
  <c r="V40" i="23"/>
  <c r="W40" i="23"/>
  <c r="X40" i="23"/>
  <c r="Y40" i="23"/>
  <c r="Z40" i="23"/>
  <c r="AL40" i="23"/>
  <c r="AM40" i="23"/>
  <c r="AN40" i="23"/>
  <c r="AO40" i="23"/>
  <c r="AP40" i="23"/>
  <c r="AQ40" i="23"/>
  <c r="AR40" i="23"/>
  <c r="AS40" i="23"/>
  <c r="AT40" i="23"/>
  <c r="AU40" i="23"/>
  <c r="AV40" i="23"/>
  <c r="AW40" i="23"/>
  <c r="AX40" i="23"/>
  <c r="AY40" i="23"/>
  <c r="AZ40" i="23"/>
  <c r="BA40" i="23"/>
  <c r="BB40" i="23"/>
  <c r="BC40" i="23"/>
  <c r="BD40" i="23"/>
  <c r="BE40" i="23"/>
  <c r="BF40" i="23"/>
  <c r="BG40" i="23"/>
  <c r="BH40" i="23"/>
  <c r="BI40" i="23"/>
  <c r="BJ40" i="23"/>
  <c r="BK40" i="23"/>
  <c r="BL40" i="23"/>
  <c r="BM40" i="23"/>
  <c r="BN40" i="23"/>
  <c r="BO40" i="23"/>
  <c r="BP40" i="23"/>
  <c r="BQ40" i="23"/>
  <c r="BR40" i="23"/>
  <c r="BS40" i="23"/>
  <c r="BT40" i="23"/>
  <c r="BU40" i="23"/>
  <c r="BV40" i="23"/>
  <c r="BW40" i="23"/>
  <c r="BX40" i="23"/>
  <c r="BY40" i="23"/>
  <c r="BZ40" i="23"/>
  <c r="CA40" i="23"/>
  <c r="CB40" i="23"/>
  <c r="CC40" i="23"/>
  <c r="CD40" i="23"/>
  <c r="CE40" i="23"/>
  <c r="CF40" i="23"/>
  <c r="CG40" i="23"/>
  <c r="CH40" i="23"/>
  <c r="CI40" i="23"/>
  <c r="CJ40" i="23"/>
  <c r="CK40" i="23"/>
  <c r="CL40" i="23"/>
  <c r="CM40" i="23"/>
  <c r="CN40" i="23"/>
  <c r="CO40" i="23"/>
  <c r="CP40" i="23"/>
  <c r="CQ40" i="23"/>
  <c r="CR40" i="23"/>
  <c r="CS40" i="23"/>
  <c r="CT40" i="23"/>
  <c r="CU40" i="23"/>
  <c r="CV40" i="23"/>
  <c r="CW40" i="23"/>
  <c r="CX40" i="23"/>
  <c r="CY40" i="23"/>
  <c r="CZ40" i="23"/>
  <c r="DA40" i="23"/>
  <c r="DB40" i="23"/>
  <c r="DC40" i="23"/>
  <c r="DD40" i="23"/>
  <c r="DE40" i="23"/>
  <c r="C39" i="23"/>
  <c r="D39" i="23"/>
  <c r="E39" i="23"/>
  <c r="F39" i="23"/>
  <c r="G39" i="23"/>
  <c r="H39" i="23"/>
  <c r="I39" i="23"/>
  <c r="J39" i="23"/>
  <c r="K39" i="23"/>
  <c r="L39" i="23"/>
  <c r="M39" i="23"/>
  <c r="O39" i="23"/>
  <c r="P39" i="23"/>
  <c r="Q39" i="23"/>
  <c r="R39" i="23"/>
  <c r="S39" i="23"/>
  <c r="T39" i="23"/>
  <c r="U39" i="23"/>
  <c r="V39" i="23"/>
  <c r="W39" i="23"/>
  <c r="X39" i="23"/>
  <c r="Y39" i="23"/>
  <c r="Z39" i="23"/>
  <c r="AL39" i="23"/>
  <c r="AM39" i="23"/>
  <c r="AN39" i="23"/>
  <c r="AO39" i="23"/>
  <c r="AP39" i="23"/>
  <c r="AQ39" i="23"/>
  <c r="AR39" i="23"/>
  <c r="AS39" i="23"/>
  <c r="AT39" i="23"/>
  <c r="AU39" i="23"/>
  <c r="AV39" i="23"/>
  <c r="AW39" i="23"/>
  <c r="AX39" i="23"/>
  <c r="AY39" i="23"/>
  <c r="AZ39" i="23"/>
  <c r="BA39" i="23"/>
  <c r="BB39" i="23"/>
  <c r="BC39" i="23"/>
  <c r="BD39" i="23"/>
  <c r="BE39" i="23"/>
  <c r="BF39" i="23"/>
  <c r="BG39" i="23"/>
  <c r="BH39" i="23"/>
  <c r="BI39" i="23"/>
  <c r="BJ39" i="23"/>
  <c r="BK39" i="23"/>
  <c r="BL39" i="23"/>
  <c r="BM39" i="23"/>
  <c r="BN39" i="23"/>
  <c r="BO39" i="23"/>
  <c r="BP39" i="23"/>
  <c r="BQ39" i="23"/>
  <c r="BR39" i="23"/>
  <c r="BS39" i="23"/>
  <c r="BT39" i="23"/>
  <c r="BU39" i="23"/>
  <c r="BV39" i="23"/>
  <c r="BW39" i="23"/>
  <c r="BX39" i="23"/>
  <c r="BY39" i="23"/>
  <c r="BZ39" i="23"/>
  <c r="CA39" i="23"/>
  <c r="CB39" i="23"/>
  <c r="CC39" i="23"/>
  <c r="CD39" i="23"/>
  <c r="CE39" i="23"/>
  <c r="CF39" i="23"/>
  <c r="CG39" i="23"/>
  <c r="CH39" i="23"/>
  <c r="CI39" i="23"/>
  <c r="CJ39" i="23"/>
  <c r="CK39" i="23"/>
  <c r="CL39" i="23"/>
  <c r="CM39" i="23"/>
  <c r="CN39" i="23"/>
  <c r="CO39" i="23"/>
  <c r="CP39" i="23"/>
  <c r="CQ39" i="23"/>
  <c r="CR39" i="23"/>
  <c r="CS39" i="23"/>
  <c r="CT39" i="23"/>
  <c r="CU39" i="23"/>
  <c r="CV39" i="23"/>
  <c r="CW39" i="23"/>
  <c r="CX39" i="23"/>
  <c r="CY39" i="23"/>
  <c r="CZ39" i="23"/>
  <c r="DA39" i="23"/>
  <c r="DB39" i="23"/>
  <c r="DC39" i="23"/>
  <c r="DD39" i="23"/>
  <c r="DE39" i="23"/>
  <c r="C40" i="24"/>
  <c r="D40" i="24"/>
  <c r="E40" i="24"/>
  <c r="F40" i="24"/>
  <c r="G40" i="24"/>
  <c r="H40" i="24"/>
  <c r="I40" i="24"/>
  <c r="J40" i="24"/>
  <c r="K40" i="24"/>
  <c r="L40" i="24"/>
  <c r="M40" i="24"/>
  <c r="O40" i="24"/>
  <c r="P40" i="24"/>
  <c r="Q40" i="24"/>
  <c r="R40" i="24"/>
  <c r="S40" i="24"/>
  <c r="T40" i="24"/>
  <c r="U40" i="24"/>
  <c r="V40" i="24"/>
  <c r="W40" i="24"/>
  <c r="X40" i="24"/>
  <c r="Y40" i="24"/>
  <c r="Z40" i="24"/>
  <c r="AL40" i="24"/>
  <c r="AM40" i="24"/>
  <c r="AN40" i="24"/>
  <c r="AO40" i="24"/>
  <c r="AP40" i="24"/>
  <c r="AQ40" i="24"/>
  <c r="AR40" i="24"/>
  <c r="AS40" i="24"/>
  <c r="AT40" i="24"/>
  <c r="AU40" i="24"/>
  <c r="AV40" i="24"/>
  <c r="AW40" i="24"/>
  <c r="AX40" i="24"/>
  <c r="AY40" i="24"/>
  <c r="AZ40" i="24"/>
  <c r="BA40" i="24"/>
  <c r="BB40" i="24"/>
  <c r="BC40" i="24"/>
  <c r="BD40" i="24"/>
  <c r="BE40" i="24"/>
  <c r="BF40" i="24"/>
  <c r="BG40" i="24"/>
  <c r="BH40" i="24"/>
  <c r="BI40" i="24"/>
  <c r="BJ40" i="24"/>
  <c r="BK40" i="24"/>
  <c r="BL40" i="24"/>
  <c r="BM40" i="24"/>
  <c r="BN40" i="24"/>
  <c r="BO40" i="24"/>
  <c r="BP40" i="24"/>
  <c r="BQ40" i="24"/>
  <c r="BR40" i="24"/>
  <c r="BS40" i="24"/>
  <c r="BT40" i="24"/>
  <c r="BU40" i="24"/>
  <c r="BV40" i="24"/>
  <c r="BW40" i="24"/>
  <c r="BX40" i="24"/>
  <c r="BY40" i="24"/>
  <c r="BZ40" i="24"/>
  <c r="CA40" i="24"/>
  <c r="CB40" i="24"/>
  <c r="CC40" i="24"/>
  <c r="CD40" i="24"/>
  <c r="CE40" i="24"/>
  <c r="CF40" i="24"/>
  <c r="CG40" i="24"/>
  <c r="CH40" i="24"/>
  <c r="CI40" i="24"/>
  <c r="CJ40" i="24"/>
  <c r="CK40" i="24"/>
  <c r="CL40" i="24"/>
  <c r="CM40" i="24"/>
  <c r="CN40" i="24"/>
  <c r="CO40" i="24"/>
  <c r="CP40" i="24"/>
  <c r="CQ40" i="24"/>
  <c r="CR40" i="24"/>
  <c r="CS40" i="24"/>
  <c r="C39" i="24"/>
  <c r="D39" i="24"/>
  <c r="E39" i="24"/>
  <c r="F39" i="24"/>
  <c r="G39" i="24"/>
  <c r="H39" i="24"/>
  <c r="I39" i="24"/>
  <c r="J39" i="24"/>
  <c r="K39" i="24"/>
  <c r="L39" i="24"/>
  <c r="M39" i="24"/>
  <c r="O39" i="24"/>
  <c r="P39" i="24"/>
  <c r="Q39" i="24"/>
  <c r="R39" i="24"/>
  <c r="S39" i="24"/>
  <c r="T39" i="24"/>
  <c r="U39" i="24"/>
  <c r="V39" i="24"/>
  <c r="W39" i="24"/>
  <c r="X39" i="24"/>
  <c r="Y39" i="24"/>
  <c r="Z39" i="24"/>
  <c r="AL39" i="24"/>
  <c r="AM39" i="24"/>
  <c r="AN39" i="24"/>
  <c r="AO39" i="24"/>
  <c r="AP39" i="24"/>
  <c r="AQ39" i="24"/>
  <c r="AR39" i="24"/>
  <c r="AS39" i="24"/>
  <c r="AT39" i="24"/>
  <c r="AU39" i="24"/>
  <c r="AV39" i="24"/>
  <c r="AW39" i="24"/>
  <c r="AX39" i="24"/>
  <c r="AY39" i="24"/>
  <c r="AZ39" i="24"/>
  <c r="BA39" i="24"/>
  <c r="BB39" i="24"/>
  <c r="BC39" i="24"/>
  <c r="BD39" i="24"/>
  <c r="BE39" i="24"/>
  <c r="BF39" i="24"/>
  <c r="BG39" i="24"/>
  <c r="BH39" i="24"/>
  <c r="BI39" i="24"/>
  <c r="BJ39" i="24"/>
  <c r="BK39" i="24"/>
  <c r="BL39" i="24"/>
  <c r="BM39" i="24"/>
  <c r="BN39" i="24"/>
  <c r="BO39" i="24"/>
  <c r="BP39" i="24"/>
  <c r="BQ39" i="24"/>
  <c r="BR39" i="24"/>
  <c r="BS39" i="24"/>
  <c r="BT39" i="24"/>
  <c r="BU39" i="24"/>
  <c r="BV39" i="24"/>
  <c r="BW39" i="24"/>
  <c r="BX39" i="24"/>
  <c r="BY39" i="24"/>
  <c r="BZ39" i="24"/>
  <c r="CA39" i="24"/>
  <c r="CB39" i="24"/>
  <c r="CC39" i="24"/>
  <c r="CD39" i="24"/>
  <c r="CE39" i="24"/>
  <c r="CF39" i="24"/>
  <c r="CG39" i="24"/>
  <c r="CH39" i="24"/>
  <c r="CI39" i="24"/>
  <c r="CJ39" i="24"/>
  <c r="CK39" i="24"/>
  <c r="CL39" i="24"/>
  <c r="CM39" i="24"/>
  <c r="CN39" i="24"/>
  <c r="CO39" i="24"/>
  <c r="CP39" i="24"/>
  <c r="CQ39" i="24"/>
  <c r="CR39" i="24"/>
  <c r="CS39" i="24"/>
  <c r="L7" i="43"/>
  <c r="L8" i="43"/>
  <c r="L9" i="43"/>
  <c r="D14" i="8"/>
  <c r="AC18" i="16"/>
  <c r="AC17" i="16"/>
  <c r="P17" i="16"/>
  <c r="P18" i="16"/>
  <c r="AC16" i="16"/>
  <c r="AC15" i="16"/>
  <c r="B17" i="16"/>
  <c r="Q17" i="5"/>
  <c r="A29" i="11"/>
  <c r="B28" i="11"/>
  <c r="B27" i="11"/>
  <c r="A25" i="11"/>
  <c r="A20" i="11"/>
  <c r="E8" i="3"/>
  <c r="B9" i="3"/>
  <c r="B10" i="3"/>
  <c r="B11" i="3"/>
  <c r="B12" i="3"/>
  <c r="B13" i="3"/>
  <c r="A13" i="3"/>
  <c r="A11" i="3"/>
  <c r="A12" i="3"/>
  <c r="A23" i="3"/>
  <c r="E24" i="3"/>
  <c r="E23" i="3"/>
  <c r="AB16" i="15"/>
  <c r="AD16" i="15"/>
  <c r="B8" i="3"/>
  <c r="B12" i="15"/>
  <c r="A8" i="3"/>
  <c r="A9" i="3"/>
  <c r="G4" i="23"/>
  <c r="H5" i="21"/>
  <c r="U5" i="21"/>
  <c r="F4" i="23"/>
  <c r="A33" i="23"/>
  <c r="A36" i="23"/>
  <c r="A55" i="23"/>
  <c r="F5" i="24"/>
  <c r="F301" i="43"/>
  <c r="D9" i="6"/>
  <c r="R9" i="6"/>
  <c r="D12" i="6"/>
  <c r="D13" i="6"/>
  <c r="B21" i="42"/>
  <c r="B20" i="42"/>
  <c r="B22" i="42"/>
  <c r="B19" i="42"/>
  <c r="E61" i="44"/>
  <c r="C60" i="44"/>
  <c r="AA9" i="6"/>
  <c r="AB9" i="6"/>
  <c r="AC9" i="6"/>
  <c r="X9" i="6"/>
  <c r="D10" i="6"/>
  <c r="D11" i="6"/>
  <c r="B18" i="42"/>
  <c r="B17" i="42"/>
  <c r="C10" i="7"/>
  <c r="C15" i="7"/>
  <c r="H15" i="7"/>
  <c r="C19" i="7"/>
  <c r="D22" i="8"/>
  <c r="D11" i="8"/>
  <c r="D16" i="8"/>
  <c r="D19" i="8"/>
  <c r="C13" i="7"/>
  <c r="C17" i="7"/>
  <c r="G17" i="7"/>
  <c r="T17" i="7"/>
  <c r="D9" i="8"/>
  <c r="C8" i="7"/>
  <c r="D15" i="8"/>
  <c r="D7" i="8"/>
  <c r="C12" i="7"/>
  <c r="C16" i="7"/>
  <c r="D8" i="8"/>
  <c r="D12" i="8"/>
  <c r="D17" i="8"/>
  <c r="G17" i="8"/>
  <c r="T17" i="8"/>
  <c r="D20" i="8"/>
  <c r="C7" i="7"/>
  <c r="D13" i="8"/>
  <c r="D21" i="8"/>
  <c r="C14" i="7"/>
  <c r="H14" i="7"/>
  <c r="U14" i="7"/>
  <c r="C18" i="7"/>
  <c r="D10" i="8"/>
  <c r="D18" i="8"/>
  <c r="G18" i="8"/>
  <c r="T18" i="8"/>
  <c r="C9" i="7"/>
  <c r="C11" i="7"/>
  <c r="D8" i="6"/>
  <c r="U17" i="5"/>
  <c r="C301" i="43"/>
  <c r="P16" i="16"/>
  <c r="D301" i="43"/>
  <c r="E301" i="43"/>
  <c r="A10" i="3"/>
  <c r="B301" i="43"/>
  <c r="A19" i="11"/>
  <c r="D7" i="6"/>
  <c r="D36" i="8"/>
  <c r="D35" i="8"/>
  <c r="D34" i="8"/>
  <c r="D33" i="8"/>
  <c r="D32" i="8"/>
  <c r="D31" i="8"/>
  <c r="W9" i="6"/>
  <c r="S9" i="6"/>
  <c r="Y9" i="6"/>
  <c r="U9" i="6"/>
  <c r="Z9" i="6"/>
  <c r="V9" i="6"/>
  <c r="T9" i="6"/>
  <c r="AD9" i="6"/>
  <c r="AF9" i="6"/>
  <c r="AG9" i="6"/>
  <c r="AH9" i="6"/>
  <c r="AI9" i="6"/>
  <c r="AJ9" i="6"/>
  <c r="AK9" i="6"/>
  <c r="AL9" i="6"/>
  <c r="AM9" i="6"/>
  <c r="AN9" i="6"/>
  <c r="R31" i="8"/>
  <c r="E52" i="8"/>
  <c r="U36" i="8"/>
  <c r="Y36" i="8"/>
  <c r="AC36" i="8"/>
  <c r="AA36" i="8"/>
  <c r="R36" i="8"/>
  <c r="V36" i="8"/>
  <c r="Z36" i="8"/>
  <c r="S36" i="8"/>
  <c r="W36" i="8"/>
  <c r="X36" i="8"/>
  <c r="AB36" i="8"/>
  <c r="T36" i="8"/>
  <c r="U35" i="8"/>
  <c r="Y35" i="8"/>
  <c r="AC35" i="8"/>
  <c r="W35" i="8"/>
  <c r="R35" i="8"/>
  <c r="V35" i="8"/>
  <c r="Z35" i="8"/>
  <c r="S35" i="8"/>
  <c r="AA35" i="8"/>
  <c r="T35" i="8"/>
  <c r="X35" i="8"/>
  <c r="AB35" i="8"/>
  <c r="D19" i="6"/>
  <c r="E28" i="6"/>
  <c r="D43" i="8"/>
  <c r="X19" i="7"/>
  <c r="S19" i="7"/>
  <c r="W19" i="7"/>
  <c r="V19" i="7"/>
  <c r="U19" i="7"/>
  <c r="Z19" i="7"/>
  <c r="Y19" i="7"/>
  <c r="AB19" i="7"/>
  <c r="T19" i="7"/>
  <c r="R19" i="7"/>
  <c r="Q19" i="7"/>
  <c r="AA19" i="7"/>
  <c r="G18" i="7"/>
  <c r="T18" i="7"/>
  <c r="F18" i="7"/>
  <c r="S18" i="7"/>
  <c r="H18" i="7"/>
  <c r="U18" i="7"/>
  <c r="V8" i="8"/>
  <c r="AC8" i="8"/>
  <c r="U8" i="8"/>
  <c r="AB8" i="8"/>
  <c r="T8" i="8"/>
  <c r="AA8" i="8"/>
  <c r="S8" i="8"/>
  <c r="Z8" i="8"/>
  <c r="R8" i="8"/>
  <c r="Y8" i="8"/>
  <c r="X8" i="8"/>
  <c r="W8" i="8"/>
  <c r="W10" i="7"/>
  <c r="V10" i="7"/>
  <c r="T10" i="7"/>
  <c r="AB10" i="7"/>
  <c r="S10" i="7"/>
  <c r="Z10" i="7"/>
  <c r="X10" i="7"/>
  <c r="AA10" i="7"/>
  <c r="R10" i="7"/>
  <c r="Y10" i="7"/>
  <c r="Q10" i="7"/>
  <c r="U10" i="7"/>
  <c r="X13" i="7"/>
  <c r="W13" i="7"/>
  <c r="Y13" i="7"/>
  <c r="V13" i="7"/>
  <c r="T13" i="7"/>
  <c r="AA13" i="7"/>
  <c r="AB13" i="7"/>
  <c r="S13" i="7"/>
  <c r="Z13" i="7"/>
  <c r="U13" i="7"/>
  <c r="R13" i="7"/>
  <c r="Q13" i="7"/>
  <c r="AB16" i="7"/>
  <c r="S16" i="7"/>
  <c r="AA16" i="7"/>
  <c r="R16" i="7"/>
  <c r="Z16" i="7"/>
  <c r="Q16" i="7"/>
  <c r="Y16" i="7"/>
  <c r="V16" i="7"/>
  <c r="U16" i="7"/>
  <c r="X16" i="7"/>
  <c r="W16" i="7"/>
  <c r="T16" i="7"/>
  <c r="G19" i="8"/>
  <c r="T19" i="8"/>
  <c r="N19" i="8"/>
  <c r="AA19" i="8"/>
  <c r="K19" i="8"/>
  <c r="X19" i="8"/>
  <c r="AA18" i="42"/>
  <c r="Z18" i="42"/>
  <c r="C18" i="42"/>
  <c r="S18" i="42"/>
  <c r="Q18" i="42"/>
  <c r="Y18" i="42"/>
  <c r="R18" i="42"/>
  <c r="V18" i="42"/>
  <c r="P18" i="42"/>
  <c r="U18" i="42"/>
  <c r="X18" i="42"/>
  <c r="T18" i="42"/>
  <c r="W18" i="42"/>
  <c r="W19" i="42"/>
  <c r="V19" i="42"/>
  <c r="C19" i="42"/>
  <c r="T19" i="42"/>
  <c r="S19" i="42"/>
  <c r="Z19" i="42"/>
  <c r="AA19" i="42"/>
  <c r="Q19" i="42"/>
  <c r="R19" i="42"/>
  <c r="U19" i="42"/>
  <c r="Y19" i="42"/>
  <c r="P19" i="42"/>
  <c r="X19" i="42"/>
  <c r="AD19" i="42"/>
  <c r="AE19" i="42"/>
  <c r="AF19" i="42"/>
  <c r="AG19" i="42"/>
  <c r="AH19" i="42"/>
  <c r="AI19" i="42"/>
  <c r="AJ19" i="42"/>
  <c r="AK19" i="42"/>
  <c r="AL19" i="42"/>
  <c r="C22" i="42"/>
  <c r="Z22" i="42"/>
  <c r="W22" i="42"/>
  <c r="Y22" i="42"/>
  <c r="T22" i="42"/>
  <c r="AA22" i="42"/>
  <c r="S22" i="42"/>
  <c r="V22" i="42"/>
  <c r="R22" i="42"/>
  <c r="P22" i="42"/>
  <c r="X22" i="42"/>
  <c r="Q22" i="42"/>
  <c r="U22" i="42"/>
  <c r="AA7" i="7"/>
  <c r="R7" i="7"/>
  <c r="AB7" i="7"/>
  <c r="Z7" i="7"/>
  <c r="Q7" i="7"/>
  <c r="Y7" i="7"/>
  <c r="S7" i="7"/>
  <c r="X7" i="7"/>
  <c r="V7" i="7"/>
  <c r="W7" i="7"/>
  <c r="U7" i="7"/>
  <c r="T7" i="7"/>
  <c r="C20" i="42"/>
  <c r="Y20" i="42"/>
  <c r="Q20" i="42"/>
  <c r="Z20" i="42"/>
  <c r="S20" i="42"/>
  <c r="AA20" i="42"/>
  <c r="U20" i="42"/>
  <c r="T20" i="42"/>
  <c r="X20" i="42"/>
  <c r="R20" i="42"/>
  <c r="W20" i="42"/>
  <c r="V20" i="42"/>
  <c r="P20" i="42"/>
  <c r="G12" i="7"/>
  <c r="T12" i="7"/>
  <c r="J12" i="7"/>
  <c r="M12" i="7"/>
  <c r="Z12" i="7"/>
  <c r="W20" i="8"/>
  <c r="X20" i="8"/>
  <c r="Y20" i="8"/>
  <c r="Z20" i="8"/>
  <c r="S20" i="8"/>
  <c r="AA20" i="8"/>
  <c r="T20" i="8"/>
  <c r="AB20" i="8"/>
  <c r="U20" i="8"/>
  <c r="AC20" i="8"/>
  <c r="V20" i="8"/>
  <c r="R20" i="8"/>
  <c r="W15" i="8"/>
  <c r="X15" i="8"/>
  <c r="Y15" i="8"/>
  <c r="Z15" i="8"/>
  <c r="S15" i="8"/>
  <c r="AA15" i="8"/>
  <c r="T15" i="8"/>
  <c r="AB15" i="8"/>
  <c r="U15" i="8"/>
  <c r="AC15" i="8"/>
  <c r="V15" i="8"/>
  <c r="R15" i="8"/>
  <c r="W21" i="42"/>
  <c r="U21" i="42"/>
  <c r="V21" i="42"/>
  <c r="C21" i="42"/>
  <c r="Z21" i="42"/>
  <c r="Q21" i="42"/>
  <c r="P21" i="42"/>
  <c r="T21" i="42"/>
  <c r="S21" i="42"/>
  <c r="Y21" i="42"/>
  <c r="X21" i="42"/>
  <c r="AA21" i="42"/>
  <c r="R21" i="42"/>
  <c r="J12" i="8"/>
  <c r="G12" i="8"/>
  <c r="T12" i="8"/>
  <c r="R16" i="8"/>
  <c r="R18" i="8"/>
  <c r="E62" i="44"/>
  <c r="C61" i="44"/>
  <c r="M13" i="8"/>
  <c r="Z13" i="8"/>
  <c r="G13" i="8"/>
  <c r="T13" i="8"/>
  <c r="K13" i="8"/>
  <c r="S12" i="8"/>
  <c r="I12" i="8"/>
  <c r="V12" i="8"/>
  <c r="N12" i="8"/>
  <c r="AA12" i="8"/>
  <c r="P12" i="8"/>
  <c r="AC12" i="8"/>
  <c r="Q14" i="7"/>
  <c r="AC14" i="7"/>
  <c r="AC17" i="7"/>
  <c r="R17" i="8"/>
  <c r="AD20" i="42"/>
  <c r="AE20" i="42"/>
  <c r="AF20" i="42"/>
  <c r="AG20" i="42"/>
  <c r="AH20" i="42"/>
  <c r="AI20" i="42"/>
  <c r="AJ20" i="42"/>
  <c r="AK20" i="42"/>
  <c r="AL20" i="42"/>
  <c r="AD18" i="42"/>
  <c r="AE18" i="42"/>
  <c r="AF18" i="42"/>
  <c r="AG18" i="42"/>
  <c r="AH18" i="42"/>
  <c r="AI18" i="42"/>
  <c r="AJ18" i="42"/>
  <c r="AK18" i="42"/>
  <c r="AL18" i="42"/>
  <c r="T13" i="6"/>
  <c r="U13" i="6"/>
  <c r="Z13" i="6"/>
  <c r="Y13" i="6"/>
  <c r="V13" i="6"/>
  <c r="AA13" i="6"/>
  <c r="X13" i="6"/>
  <c r="R13" i="6"/>
  <c r="AB13" i="6"/>
  <c r="W13" i="6"/>
  <c r="AC13" i="6"/>
  <c r="S13" i="6"/>
  <c r="AD21" i="42"/>
  <c r="AE21" i="42"/>
  <c r="AF21" i="42"/>
  <c r="AG21" i="42"/>
  <c r="AH21" i="42"/>
  <c r="AI21" i="42"/>
  <c r="AJ21" i="42"/>
  <c r="AL21" i="42"/>
  <c r="AK21" i="42"/>
  <c r="AC8" i="6"/>
  <c r="AB8" i="6"/>
  <c r="R8" i="6"/>
  <c r="W8" i="6"/>
  <c r="V8" i="6"/>
  <c r="X8" i="6"/>
  <c r="S8" i="6"/>
  <c r="U8" i="6"/>
  <c r="Y8" i="6"/>
  <c r="Z8" i="6"/>
  <c r="T8" i="6"/>
  <c r="AA8" i="6"/>
  <c r="T10" i="6"/>
  <c r="AC10" i="6"/>
  <c r="R10" i="6"/>
  <c r="S10" i="6"/>
  <c r="W10" i="6"/>
  <c r="AA10" i="6"/>
  <c r="V10" i="6"/>
  <c r="X10" i="6"/>
  <c r="U10" i="6"/>
  <c r="Y10" i="6"/>
  <c r="AB10" i="6"/>
  <c r="Z10" i="6"/>
  <c r="U12" i="6"/>
  <c r="T12" i="6"/>
  <c r="AA12" i="6"/>
  <c r="X12" i="6"/>
  <c r="R12" i="6"/>
  <c r="S12" i="6"/>
  <c r="W12" i="6"/>
  <c r="Z12" i="6"/>
  <c r="AC12" i="6"/>
  <c r="Y12" i="6"/>
  <c r="AB12" i="6"/>
  <c r="V12" i="6"/>
  <c r="AD22" i="42"/>
  <c r="AE22" i="42"/>
  <c r="AF22" i="42"/>
  <c r="AG22" i="42"/>
  <c r="AH22" i="42"/>
  <c r="AI22" i="42"/>
  <c r="AJ22" i="42"/>
  <c r="AK22" i="42"/>
  <c r="AL22" i="42"/>
  <c r="C17" i="42"/>
  <c r="T17" i="42"/>
  <c r="R17" i="42"/>
  <c r="Y17" i="42"/>
  <c r="U17" i="42"/>
  <c r="Z17" i="42"/>
  <c r="V17" i="42"/>
  <c r="P17" i="42"/>
  <c r="AA17" i="42"/>
  <c r="Q17" i="42"/>
  <c r="W17" i="42"/>
  <c r="X17" i="42"/>
  <c r="S17" i="42"/>
  <c r="Y11" i="6"/>
  <c r="U11" i="6"/>
  <c r="V11" i="6"/>
  <c r="AB11" i="6"/>
  <c r="S11" i="6"/>
  <c r="AC11" i="6"/>
  <c r="R11" i="6"/>
  <c r="X11" i="6"/>
  <c r="AA11" i="6"/>
  <c r="T11" i="6"/>
  <c r="Z11" i="6"/>
  <c r="W11" i="6"/>
  <c r="S33" i="8"/>
  <c r="W33" i="8"/>
  <c r="AA33" i="8"/>
  <c r="T33" i="8"/>
  <c r="X33" i="8"/>
  <c r="AB33" i="8"/>
  <c r="U33" i="8"/>
  <c r="Y33" i="8"/>
  <c r="AC33" i="8"/>
  <c r="R33" i="8"/>
  <c r="V33" i="8"/>
  <c r="Z33" i="8"/>
  <c r="S34" i="8"/>
  <c r="W34" i="8"/>
  <c r="AA34" i="8"/>
  <c r="T34" i="8"/>
  <c r="X34" i="8"/>
  <c r="AB34" i="8"/>
  <c r="U34" i="8"/>
  <c r="Y34" i="8"/>
  <c r="AC34" i="8"/>
  <c r="V34" i="8"/>
  <c r="R34" i="8"/>
  <c r="Z34" i="8"/>
  <c r="U31" i="8"/>
  <c r="Y31" i="8"/>
  <c r="AC31" i="8"/>
  <c r="V31" i="8"/>
  <c r="AA31" i="8"/>
  <c r="W31" i="8"/>
  <c r="AB31" i="8"/>
  <c r="Z31" i="8"/>
  <c r="S31" i="8"/>
  <c r="T31" i="8"/>
  <c r="X31" i="8"/>
  <c r="V32" i="8"/>
  <c r="Z32" i="8"/>
  <c r="R32" i="8"/>
  <c r="U32" i="8"/>
  <c r="AA32" i="8"/>
  <c r="W32" i="8"/>
  <c r="AB32" i="8"/>
  <c r="Y32" i="8"/>
  <c r="S32" i="8"/>
  <c r="AC32" i="8"/>
  <c r="T32" i="8"/>
  <c r="X32" i="8"/>
  <c r="U7" i="6"/>
  <c r="Y7" i="6"/>
  <c r="AC7" i="6"/>
  <c r="S7" i="6"/>
  <c r="W7" i="6"/>
  <c r="AA7" i="6"/>
  <c r="X7" i="6"/>
  <c r="T7" i="6"/>
  <c r="AB7" i="6"/>
  <c r="R7" i="6"/>
  <c r="V7" i="6"/>
  <c r="Z7" i="6"/>
  <c r="V17" i="5"/>
  <c r="AD25" i="15"/>
  <c r="AC37" i="8"/>
  <c r="AC53" i="8"/>
  <c r="V28" i="6"/>
  <c r="Z28" i="6"/>
  <c r="X28" i="6"/>
  <c r="AB19" i="42"/>
  <c r="AD35" i="8"/>
  <c r="Y52" i="8"/>
  <c r="X37" i="8"/>
  <c r="X53" i="8"/>
  <c r="Z52" i="8"/>
  <c r="Y37" i="8"/>
  <c r="Y53" i="8"/>
  <c r="U37" i="8"/>
  <c r="U53" i="8"/>
  <c r="X52" i="8"/>
  <c r="AA28" i="6"/>
  <c r="AD36" i="8"/>
  <c r="T52" i="8"/>
  <c r="S52" i="8"/>
  <c r="AA52" i="8"/>
  <c r="V52" i="8"/>
  <c r="AB52" i="8"/>
  <c r="T37" i="8"/>
  <c r="T53" i="8"/>
  <c r="W28" i="6"/>
  <c r="U52" i="8"/>
  <c r="W52" i="8"/>
  <c r="AB37" i="8"/>
  <c r="AB53" i="8"/>
  <c r="AC28" i="6"/>
  <c r="U28" i="6"/>
  <c r="AC52" i="8"/>
  <c r="R52" i="8"/>
  <c r="AB28" i="6"/>
  <c r="Y28" i="6"/>
  <c r="S28" i="6"/>
  <c r="T28" i="6"/>
  <c r="R28" i="6"/>
  <c r="R37" i="8"/>
  <c r="R53" i="8"/>
  <c r="V37" i="8"/>
  <c r="V53" i="8"/>
  <c r="AA37" i="8"/>
  <c r="AA53" i="8"/>
  <c r="Z37" i="8"/>
  <c r="Z53" i="8"/>
  <c r="W37" i="8"/>
  <c r="W53" i="8"/>
  <c r="S37" i="8"/>
  <c r="S53" i="8"/>
  <c r="M19" i="8"/>
  <c r="Z19" i="8"/>
  <c r="M18" i="8"/>
  <c r="Z18" i="8"/>
  <c r="V18" i="8"/>
  <c r="E63" i="44"/>
  <c r="C62" i="44"/>
  <c r="P17" i="7"/>
  <c r="AD17" i="7"/>
  <c r="P14" i="7"/>
  <c r="AD14" i="7"/>
  <c r="U15" i="7"/>
  <c r="AB18" i="42"/>
  <c r="AB20" i="42"/>
  <c r="AB21" i="42"/>
  <c r="AB22" i="42"/>
  <c r="W17" i="5"/>
  <c r="AA14" i="6"/>
  <c r="AA29" i="6"/>
  <c r="V14" i="6"/>
  <c r="V29" i="6"/>
  <c r="Y14" i="6"/>
  <c r="Y29" i="6"/>
  <c r="W14" i="6"/>
  <c r="W29" i="6"/>
  <c r="X14" i="6"/>
  <c r="X29" i="6"/>
  <c r="AB14" i="6"/>
  <c r="AB29" i="6"/>
  <c r="S14" i="6"/>
  <c r="S29" i="6"/>
  <c r="AC14" i="6"/>
  <c r="AC29" i="6"/>
  <c r="U14" i="6"/>
  <c r="U29" i="6"/>
  <c r="E14" i="6"/>
  <c r="T14" i="6"/>
  <c r="T29" i="6"/>
  <c r="Z14" i="6"/>
  <c r="Z29" i="6"/>
  <c r="AD53" i="8"/>
  <c r="D31" i="21"/>
  <c r="E29" i="6"/>
  <c r="E64" i="44"/>
  <c r="C63" i="44"/>
  <c r="M18" i="7"/>
  <c r="Z18" i="7"/>
  <c r="V15" i="7"/>
  <c r="W12" i="7"/>
  <c r="X17" i="5"/>
  <c r="D32" i="21"/>
  <c r="D33" i="21"/>
  <c r="D36" i="21"/>
  <c r="D34" i="21"/>
  <c r="E65" i="44"/>
  <c r="C64" i="44"/>
  <c r="P18" i="7"/>
  <c r="AD18" i="7"/>
  <c r="W15" i="7"/>
  <c r="Q22" i="5"/>
  <c r="R14" i="8"/>
  <c r="AC18" i="7"/>
  <c r="Y17" i="5"/>
  <c r="R14" i="6"/>
  <c r="R29" i="6"/>
  <c r="AD29" i="6"/>
  <c r="E15" i="6"/>
  <c r="E66" i="44"/>
  <c r="C65" i="44"/>
  <c r="X15" i="7"/>
  <c r="X22" i="5"/>
  <c r="Y14" i="8"/>
  <c r="Y22" i="5"/>
  <c r="Z14" i="8"/>
  <c r="V22" i="5"/>
  <c r="W14" i="8"/>
  <c r="U22" i="5"/>
  <c r="V14" i="8"/>
  <c r="Q10" i="14"/>
  <c r="S22" i="5"/>
  <c r="T14" i="8"/>
  <c r="R22" i="5"/>
  <c r="S14" i="8"/>
  <c r="D22" i="5"/>
  <c r="E14" i="8"/>
  <c r="E23" i="8"/>
  <c r="W22" i="5"/>
  <c r="X14" i="8"/>
  <c r="T22" i="5"/>
  <c r="U14" i="8"/>
  <c r="Z17" i="5"/>
  <c r="Z22" i="5"/>
  <c r="AA14" i="8"/>
  <c r="R15" i="6"/>
  <c r="C66" i="44"/>
  <c r="E67" i="44"/>
  <c r="Y15" i="7"/>
  <c r="D10" i="14"/>
  <c r="D12" i="14"/>
  <c r="U10" i="14"/>
  <c r="U34" i="14"/>
  <c r="X10" i="14"/>
  <c r="X34" i="14"/>
  <c r="Y10" i="14"/>
  <c r="Y34" i="14"/>
  <c r="V10" i="14"/>
  <c r="V34" i="14"/>
  <c r="S10" i="14"/>
  <c r="S34" i="14"/>
  <c r="R10" i="14"/>
  <c r="R34" i="14"/>
  <c r="W10" i="14"/>
  <c r="W34" i="14"/>
  <c r="T10" i="14"/>
  <c r="T34" i="14"/>
  <c r="Z10" i="14"/>
  <c r="Z34" i="14"/>
  <c r="AB17" i="5"/>
  <c r="AB22" i="5"/>
  <c r="AC14" i="8"/>
  <c r="AA17" i="5"/>
  <c r="AA22" i="5"/>
  <c r="AB14" i="8"/>
  <c r="E68" i="44"/>
  <c r="C67" i="44"/>
  <c r="Z15" i="7"/>
  <c r="P12" i="7"/>
  <c r="AA10" i="14"/>
  <c r="AA34" i="14"/>
  <c r="AB10" i="14"/>
  <c r="AB34" i="14"/>
  <c r="AC7" i="5"/>
  <c r="AC17" i="5"/>
  <c r="AC22" i="5"/>
  <c r="AC10" i="14"/>
  <c r="AC34" i="14"/>
  <c r="P15" i="16"/>
  <c r="E69" i="44"/>
  <c r="C68" i="44"/>
  <c r="P15" i="7"/>
  <c r="AA15" i="7"/>
  <c r="AD12" i="7"/>
  <c r="E70" i="44"/>
  <c r="C69" i="44"/>
  <c r="AC16" i="7"/>
  <c r="T15" i="7"/>
  <c r="R15" i="7"/>
  <c r="S15" i="7"/>
  <c r="AB15" i="7"/>
  <c r="Q15" i="7"/>
  <c r="AD15" i="7"/>
  <c r="AC19" i="7"/>
  <c r="AC12" i="7"/>
  <c r="AC13" i="7"/>
  <c r="E27" i="9"/>
  <c r="E71" i="44"/>
  <c r="C70" i="44"/>
  <c r="AC15" i="7"/>
  <c r="E72" i="44"/>
  <c r="C71" i="44"/>
  <c r="E73" i="44"/>
  <c r="C72" i="44"/>
  <c r="D27" i="7"/>
  <c r="E74" i="44"/>
  <c r="C73" i="44"/>
  <c r="A28" i="11"/>
  <c r="A27" i="11"/>
  <c r="AC43" i="15"/>
  <c r="P44" i="16"/>
  <c r="O42" i="15"/>
  <c r="AC42" i="15"/>
  <c r="L41" i="15"/>
  <c r="O41" i="15"/>
  <c r="AC41" i="15"/>
  <c r="L40" i="15"/>
  <c r="O40" i="15"/>
  <c r="AC40" i="15"/>
  <c r="L37" i="15"/>
  <c r="O37" i="15"/>
  <c r="AC37" i="15"/>
  <c r="E75" i="44"/>
  <c r="C74" i="44"/>
  <c r="AC30" i="15"/>
  <c r="O30" i="15"/>
  <c r="N30" i="15"/>
  <c r="AC7" i="7"/>
  <c r="E44" i="8"/>
  <c r="AD8" i="8"/>
  <c r="AF8" i="8"/>
  <c r="AG8" i="8"/>
  <c r="AH8" i="8"/>
  <c r="AI8" i="8"/>
  <c r="AJ8" i="8"/>
  <c r="AK8" i="8"/>
  <c r="AL8" i="8"/>
  <c r="AM8" i="8"/>
  <c r="AN8" i="8"/>
  <c r="E76" i="44"/>
  <c r="C75" i="44"/>
  <c r="AE7" i="7"/>
  <c r="AD11" i="6"/>
  <c r="AF11" i="6"/>
  <c r="AG11" i="6"/>
  <c r="AH11" i="6"/>
  <c r="AI11" i="6"/>
  <c r="AJ11" i="6"/>
  <c r="AK11" i="6"/>
  <c r="AL11" i="6"/>
  <c r="AM11" i="6"/>
  <c r="AN11" i="6"/>
  <c r="AE12" i="7"/>
  <c r="AF12" i="7"/>
  <c r="AG12" i="7"/>
  <c r="AH12" i="7"/>
  <c r="AI12" i="7"/>
  <c r="AJ12" i="7"/>
  <c r="AK12" i="7"/>
  <c r="AL12" i="7"/>
  <c r="AM12" i="7"/>
  <c r="AE13" i="7"/>
  <c r="AF13" i="7"/>
  <c r="AG13" i="7"/>
  <c r="AH13" i="7"/>
  <c r="AI13" i="7"/>
  <c r="AJ13" i="7"/>
  <c r="AK13" i="7"/>
  <c r="AL13" i="7"/>
  <c r="AM13" i="7"/>
  <c r="AE14" i="7"/>
  <c r="AF14" i="7"/>
  <c r="AG14" i="7"/>
  <c r="AH14" i="7"/>
  <c r="AI14" i="7"/>
  <c r="AJ14" i="7"/>
  <c r="AK14" i="7"/>
  <c r="AL14" i="7"/>
  <c r="AM14" i="7"/>
  <c r="AE15" i="7"/>
  <c r="AF15" i="7"/>
  <c r="AG15" i="7"/>
  <c r="AH15" i="7"/>
  <c r="AI15" i="7"/>
  <c r="AJ15" i="7"/>
  <c r="AK15" i="7"/>
  <c r="AL15" i="7"/>
  <c r="AM15" i="7"/>
  <c r="AE16" i="7"/>
  <c r="AF16" i="7"/>
  <c r="AG16" i="7"/>
  <c r="AH16" i="7"/>
  <c r="AI16" i="7"/>
  <c r="AJ16" i="7"/>
  <c r="AK16" i="7"/>
  <c r="AL16" i="7"/>
  <c r="AM16" i="7"/>
  <c r="AF7" i="7"/>
  <c r="E77" i="44"/>
  <c r="C76" i="44"/>
  <c r="AD12" i="6"/>
  <c r="AF12" i="6"/>
  <c r="AE17" i="7"/>
  <c r="AF17" i="7"/>
  <c r="AG17" i="7"/>
  <c r="AH17" i="7"/>
  <c r="AI17" i="7"/>
  <c r="AJ17" i="7"/>
  <c r="AK17" i="7"/>
  <c r="AL17" i="7"/>
  <c r="AM17" i="7"/>
  <c r="AE19" i="7"/>
  <c r="AF19" i="7"/>
  <c r="AG19" i="7"/>
  <c r="AH19" i="7"/>
  <c r="AI19" i="7"/>
  <c r="AJ19" i="7"/>
  <c r="AK19" i="7"/>
  <c r="AL19" i="7"/>
  <c r="AM19" i="7"/>
  <c r="AE18" i="7"/>
  <c r="AF18" i="7"/>
  <c r="AG18" i="7"/>
  <c r="AH18" i="7"/>
  <c r="AI18" i="7"/>
  <c r="AJ18" i="7"/>
  <c r="AK18" i="7"/>
  <c r="AL18" i="7"/>
  <c r="AM18" i="7"/>
  <c r="AF36" i="8"/>
  <c r="AG36" i="8"/>
  <c r="AH36" i="8"/>
  <c r="AI36" i="8"/>
  <c r="AJ36" i="8"/>
  <c r="AK36" i="8"/>
  <c r="AL36" i="8"/>
  <c r="AM36" i="8"/>
  <c r="AN36" i="8"/>
  <c r="AD33" i="8"/>
  <c r="AF33" i="8"/>
  <c r="AG33" i="8"/>
  <c r="AH33" i="8"/>
  <c r="AI33" i="8"/>
  <c r="AJ33" i="8"/>
  <c r="AK33" i="8"/>
  <c r="AL33" i="8"/>
  <c r="AM33" i="8"/>
  <c r="AN33" i="8"/>
  <c r="AD32" i="8"/>
  <c r="AF32" i="8"/>
  <c r="AG32" i="8"/>
  <c r="AH32" i="8"/>
  <c r="AI32" i="8"/>
  <c r="AJ32" i="8"/>
  <c r="AK32" i="8"/>
  <c r="AL32" i="8"/>
  <c r="AM32" i="8"/>
  <c r="AN32" i="8"/>
  <c r="AD34" i="8"/>
  <c r="AF34" i="8"/>
  <c r="AG34" i="8"/>
  <c r="AH34" i="8"/>
  <c r="AI34" i="8"/>
  <c r="AJ34" i="8"/>
  <c r="AK34" i="8"/>
  <c r="AL34" i="8"/>
  <c r="AM34" i="8"/>
  <c r="AN34" i="8"/>
  <c r="AD31" i="8"/>
  <c r="AG12" i="6"/>
  <c r="AF35" i="8"/>
  <c r="AD37" i="8"/>
  <c r="AG7" i="7"/>
  <c r="C77" i="44"/>
  <c r="E78" i="44"/>
  <c r="AD13" i="6"/>
  <c r="AF13" i="6"/>
  <c r="AG13" i="6"/>
  <c r="AH13" i="6"/>
  <c r="AI13" i="6"/>
  <c r="AJ13" i="6"/>
  <c r="AK13" i="6"/>
  <c r="AL13" i="6"/>
  <c r="AM13" i="6"/>
  <c r="AN13" i="6"/>
  <c r="AD10" i="6"/>
  <c r="AF10" i="6"/>
  <c r="AG10" i="6"/>
  <c r="AH10" i="6"/>
  <c r="AI10" i="6"/>
  <c r="AJ10" i="6"/>
  <c r="AK10" i="6"/>
  <c r="AL10" i="6"/>
  <c r="AM10" i="6"/>
  <c r="AN10" i="6"/>
  <c r="AH12" i="6"/>
  <c r="AG35" i="8"/>
  <c r="AH7" i="7"/>
  <c r="E79" i="44"/>
  <c r="C78" i="44"/>
  <c r="AI12" i="6"/>
  <c r="AH35" i="8"/>
  <c r="AI7" i="7"/>
  <c r="E80" i="44"/>
  <c r="C79" i="44"/>
  <c r="AJ12" i="6"/>
  <c r="AI35" i="8"/>
  <c r="AJ7" i="7"/>
  <c r="E81" i="44"/>
  <c r="C80" i="44"/>
  <c r="AK12" i="6"/>
  <c r="AJ35" i="8"/>
  <c r="AK7" i="7"/>
  <c r="E82" i="44"/>
  <c r="C81" i="44"/>
  <c r="AD7" i="6"/>
  <c r="AL12" i="6"/>
  <c r="AK35" i="8"/>
  <c r="AL7" i="7"/>
  <c r="E83" i="44"/>
  <c r="C82" i="44"/>
  <c r="AM12" i="6"/>
  <c r="AL35" i="8"/>
  <c r="AM7" i="7"/>
  <c r="E84" i="44"/>
  <c r="C83" i="44"/>
  <c r="AD8" i="6"/>
  <c r="AF8" i="6"/>
  <c r="AG8" i="6"/>
  <c r="AH8" i="6"/>
  <c r="AI8" i="6"/>
  <c r="AJ8" i="6"/>
  <c r="AK8" i="6"/>
  <c r="AL8" i="6"/>
  <c r="AM8" i="6"/>
  <c r="AN8" i="6"/>
  <c r="AN12" i="6"/>
  <c r="AM35" i="8"/>
  <c r="E85" i="44"/>
  <c r="C84" i="44"/>
  <c r="B20" i="3"/>
  <c r="B21" i="3"/>
  <c r="AN35" i="8"/>
  <c r="E86" i="44"/>
  <c r="C85" i="44"/>
  <c r="E3" i="21"/>
  <c r="F3" i="21"/>
  <c r="G3" i="21"/>
  <c r="H3" i="21"/>
  <c r="I3" i="21"/>
  <c r="J3" i="21"/>
  <c r="K3" i="21"/>
  <c r="L3" i="21"/>
  <c r="M3" i="21"/>
  <c r="N3" i="21"/>
  <c r="O3" i="21"/>
  <c r="Q3" i="21"/>
  <c r="R3" i="21"/>
  <c r="S3" i="21"/>
  <c r="T3" i="21"/>
  <c r="U3" i="21"/>
  <c r="V3" i="21"/>
  <c r="W3" i="21"/>
  <c r="X3" i="21"/>
  <c r="Y3" i="21"/>
  <c r="Z3" i="21"/>
  <c r="AA3" i="21"/>
  <c r="AB3" i="21"/>
  <c r="Q5" i="21"/>
  <c r="AD5" i="21"/>
  <c r="Q6" i="21"/>
  <c r="AD6" i="21"/>
  <c r="T4" i="21"/>
  <c r="P7" i="21"/>
  <c r="R5" i="21"/>
  <c r="AE5" i="21"/>
  <c r="S5" i="21"/>
  <c r="AF5" i="21"/>
  <c r="T5" i="21"/>
  <c r="AG5" i="21"/>
  <c r="R6" i="21"/>
  <c r="AE6" i="21"/>
  <c r="S6" i="21"/>
  <c r="AF6" i="21"/>
  <c r="T6" i="21"/>
  <c r="AG6" i="21"/>
  <c r="D12" i="21"/>
  <c r="Q12" i="21"/>
  <c r="AD12" i="21"/>
  <c r="D17" i="21"/>
  <c r="Q17" i="21"/>
  <c r="AD17" i="21"/>
  <c r="D22" i="21"/>
  <c r="Q22" i="21"/>
  <c r="AD22" i="21"/>
  <c r="D25" i="21"/>
  <c r="Q25" i="21"/>
  <c r="AD25" i="21"/>
  <c r="D30" i="21"/>
  <c r="Q30" i="21"/>
  <c r="AD30" i="21"/>
  <c r="D39" i="21"/>
  <c r="Q39" i="21"/>
  <c r="AD39" i="21"/>
  <c r="B43" i="21"/>
  <c r="B42" i="21"/>
  <c r="Q41" i="21"/>
  <c r="AD41" i="21"/>
  <c r="Q42" i="21"/>
  <c r="AD42" i="21"/>
  <c r="Q43" i="21"/>
  <c r="AD43" i="21"/>
  <c r="B41" i="21"/>
  <c r="B40" i="21"/>
  <c r="Q40" i="21"/>
  <c r="AD40" i="21"/>
  <c r="Q2" i="21"/>
  <c r="AD2" i="21"/>
  <c r="D14" i="9"/>
  <c r="J4" i="24"/>
  <c r="H6" i="21"/>
  <c r="U6" i="21"/>
  <c r="E11" i="3"/>
  <c r="E14" i="3"/>
  <c r="B26" i="11"/>
  <c r="C44" i="16"/>
  <c r="C45" i="16"/>
  <c r="AD10" i="21"/>
  <c r="AE10" i="21"/>
  <c r="AF10" i="21"/>
  <c r="AG10" i="21"/>
  <c r="AH10" i="21"/>
  <c r="AI10" i="21"/>
  <c r="AJ10" i="21"/>
  <c r="AK10" i="21"/>
  <c r="AL10" i="21"/>
  <c r="AM10" i="21"/>
  <c r="N1" i="21"/>
  <c r="AA1" i="21"/>
  <c r="AK1" i="21"/>
  <c r="J1" i="22"/>
  <c r="D1" i="21"/>
  <c r="Q1" i="21"/>
  <c r="AD1" i="21"/>
  <c r="C1" i="22"/>
  <c r="K1" i="21"/>
  <c r="X1" i="21"/>
  <c r="AH1" i="21"/>
  <c r="G1" i="22"/>
  <c r="E38" i="8"/>
  <c r="E39" i="8"/>
  <c r="D35" i="9"/>
  <c r="B24" i="3"/>
  <c r="C14" i="9"/>
  <c r="D10" i="10"/>
  <c r="C10" i="10"/>
  <c r="C11" i="10"/>
  <c r="C12" i="10"/>
  <c r="Q4" i="10"/>
  <c r="E20" i="10"/>
  <c r="D20" i="10"/>
  <c r="C20" i="10"/>
  <c r="C21" i="10"/>
  <c r="AE57" i="10"/>
  <c r="R57" i="10"/>
  <c r="E27" i="10"/>
  <c r="E22" i="10"/>
  <c r="D22" i="10"/>
  <c r="C22" i="10"/>
  <c r="C23" i="10"/>
  <c r="AE59" i="10"/>
  <c r="R59" i="10"/>
  <c r="E29" i="10"/>
  <c r="Q8" i="10"/>
  <c r="F10" i="10"/>
  <c r="Q24" i="10"/>
  <c r="F11" i="10"/>
  <c r="Q40" i="10"/>
  <c r="AD28" i="15"/>
  <c r="AB28" i="15"/>
  <c r="AA28" i="15"/>
  <c r="AC56" i="10"/>
  <c r="P56" i="10"/>
  <c r="AC57" i="10"/>
  <c r="P57" i="10"/>
  <c r="AC58" i="10"/>
  <c r="AD58" i="10"/>
  <c r="Q58" i="10"/>
  <c r="AC59" i="10"/>
  <c r="AD59" i="10"/>
  <c r="Q59" i="10"/>
  <c r="D69" i="16"/>
  <c r="D68" i="16"/>
  <c r="E69" i="16"/>
  <c r="E7" i="16"/>
  <c r="E68" i="16"/>
  <c r="F69" i="16"/>
  <c r="G69" i="16"/>
  <c r="H69" i="16"/>
  <c r="I69" i="16"/>
  <c r="J69" i="16"/>
  <c r="K69" i="16"/>
  <c r="L69" i="16"/>
  <c r="M69" i="16"/>
  <c r="N69" i="16"/>
  <c r="O69" i="16"/>
  <c r="D53" i="9"/>
  <c r="C53" i="9"/>
  <c r="B25" i="15"/>
  <c r="C23" i="16"/>
  <c r="B29" i="15"/>
  <c r="B30" i="15"/>
  <c r="B31" i="15"/>
  <c r="D40" i="7"/>
  <c r="D39" i="7"/>
  <c r="E40" i="7"/>
  <c r="E3" i="7"/>
  <c r="F40" i="7"/>
  <c r="G40" i="7"/>
  <c r="H40" i="7"/>
  <c r="I40" i="7"/>
  <c r="J40" i="7"/>
  <c r="K40" i="7"/>
  <c r="L40" i="7"/>
  <c r="M40" i="7"/>
  <c r="N40" i="7"/>
  <c r="O40" i="7"/>
  <c r="E48" i="8"/>
  <c r="E47" i="8"/>
  <c r="F48" i="8"/>
  <c r="F3" i="8"/>
  <c r="G48" i="8"/>
  <c r="H48" i="8"/>
  <c r="I48" i="8"/>
  <c r="J48" i="8"/>
  <c r="K48" i="8"/>
  <c r="L48" i="8"/>
  <c r="M48" i="8"/>
  <c r="N48" i="8"/>
  <c r="O48" i="8"/>
  <c r="P48" i="8"/>
  <c r="C43" i="10"/>
  <c r="C46" i="10"/>
  <c r="E49" i="10"/>
  <c r="D49" i="10"/>
  <c r="C49" i="10"/>
  <c r="AC29" i="15"/>
  <c r="O29" i="15"/>
  <c r="H29" i="15"/>
  <c r="AC31" i="15"/>
  <c r="O31" i="15"/>
  <c r="N31" i="15"/>
  <c r="P5" i="23"/>
  <c r="AC5" i="23"/>
  <c r="B30" i="23"/>
  <c r="B31" i="23"/>
  <c r="B8" i="23"/>
  <c r="C3" i="23"/>
  <c r="D3" i="23"/>
  <c r="D30" i="23"/>
  <c r="B30" i="24"/>
  <c r="B31" i="24"/>
  <c r="B8" i="24"/>
  <c r="E25" i="3"/>
  <c r="C49" i="16"/>
  <c r="C50" i="16"/>
  <c r="C3" i="24"/>
  <c r="O48" i="15"/>
  <c r="O49" i="15"/>
  <c r="D58" i="15"/>
  <c r="D7" i="15"/>
  <c r="E7" i="15"/>
  <c r="C33" i="15"/>
  <c r="E58" i="15"/>
  <c r="G58" i="15"/>
  <c r="F58" i="15"/>
  <c r="I58" i="15"/>
  <c r="H58" i="15"/>
  <c r="K58" i="15"/>
  <c r="J58" i="15"/>
  <c r="M58" i="15"/>
  <c r="L58" i="15"/>
  <c r="N58" i="15"/>
  <c r="P58" i="15"/>
  <c r="B28" i="3"/>
  <c r="B30" i="3"/>
  <c r="C32" i="16"/>
  <c r="B32" i="3"/>
  <c r="C56" i="16"/>
  <c r="C57" i="16"/>
  <c r="Q40" i="7"/>
  <c r="R40" i="7"/>
  <c r="S40" i="7"/>
  <c r="T40" i="7"/>
  <c r="U40" i="7"/>
  <c r="V40" i="7"/>
  <c r="W40" i="7"/>
  <c r="X40" i="7"/>
  <c r="Y40" i="7"/>
  <c r="Z40" i="7"/>
  <c r="AA40" i="7"/>
  <c r="AB40" i="7"/>
  <c r="R48" i="8"/>
  <c r="S48" i="8"/>
  <c r="T48" i="8"/>
  <c r="U48" i="8"/>
  <c r="V48" i="8"/>
  <c r="W48" i="8"/>
  <c r="X48" i="8"/>
  <c r="Y48" i="8"/>
  <c r="Z48" i="8"/>
  <c r="AA48" i="8"/>
  <c r="AB48" i="8"/>
  <c r="AC48" i="8"/>
  <c r="Q65" i="10"/>
  <c r="E35" i="9"/>
  <c r="AC60" i="10"/>
  <c r="P60" i="10"/>
  <c r="AD24" i="15"/>
  <c r="AB24" i="15"/>
  <c r="AA24" i="15"/>
  <c r="AB25" i="15"/>
  <c r="P25" i="15"/>
  <c r="AD26" i="15"/>
  <c r="AD29" i="15"/>
  <c r="AB29" i="15"/>
  <c r="AA29" i="15"/>
  <c r="AD30" i="15"/>
  <c r="AB30" i="15"/>
  <c r="AA30" i="15"/>
  <c r="AD31" i="15"/>
  <c r="AB31" i="15"/>
  <c r="AA31" i="15"/>
  <c r="AE24" i="15"/>
  <c r="AE25" i="15"/>
  <c r="F27" i="9"/>
  <c r="AE26" i="15"/>
  <c r="F35" i="9"/>
  <c r="AE27" i="15"/>
  <c r="AE28" i="15"/>
  <c r="AE29" i="15"/>
  <c r="AE30" i="15"/>
  <c r="AE31" i="15"/>
  <c r="AF24" i="15"/>
  <c r="AF25" i="15"/>
  <c r="G27" i="9"/>
  <c r="AF26" i="15"/>
  <c r="G35" i="9"/>
  <c r="H43" i="10"/>
  <c r="AF28" i="15"/>
  <c r="AF29" i="15"/>
  <c r="AF30" i="15"/>
  <c r="AF31" i="15"/>
  <c r="AG24" i="15"/>
  <c r="AG25" i="15"/>
  <c r="H27" i="9"/>
  <c r="AG26" i="15"/>
  <c r="H35" i="9"/>
  <c r="AG28" i="15"/>
  <c r="AG29" i="15"/>
  <c r="AG30" i="15"/>
  <c r="AG31" i="15"/>
  <c r="AH24" i="15"/>
  <c r="AH25" i="15"/>
  <c r="I27" i="9"/>
  <c r="AH26" i="15"/>
  <c r="AH28" i="15"/>
  <c r="AH29" i="15"/>
  <c r="AH30" i="15"/>
  <c r="AH31" i="15"/>
  <c r="AI24" i="15"/>
  <c r="AI25" i="15"/>
  <c r="J27" i="9"/>
  <c r="AI26" i="15"/>
  <c r="AI28" i="15"/>
  <c r="AI29" i="15"/>
  <c r="AI30" i="15"/>
  <c r="AI31" i="15"/>
  <c r="AJ24" i="15"/>
  <c r="AJ25" i="15"/>
  <c r="K27" i="9"/>
  <c r="AJ26" i="15"/>
  <c r="K35" i="9"/>
  <c r="AJ27" i="15"/>
  <c r="AJ28" i="15"/>
  <c r="AJ29" i="15"/>
  <c r="AJ30" i="15"/>
  <c r="AJ31" i="15"/>
  <c r="AK24" i="15"/>
  <c r="AK25" i="15"/>
  <c r="L27" i="9"/>
  <c r="L35" i="9"/>
  <c r="AK27" i="15"/>
  <c r="AK28" i="15"/>
  <c r="AK29" i="15"/>
  <c r="AK30" i="15"/>
  <c r="AK31" i="15"/>
  <c r="AL24" i="15"/>
  <c r="AL25" i="15"/>
  <c r="M27" i="9"/>
  <c r="M35" i="9"/>
  <c r="AL27" i="15"/>
  <c r="AL28" i="15"/>
  <c r="AL29" i="15"/>
  <c r="AL30" i="15"/>
  <c r="AL31" i="15"/>
  <c r="Q58" i="15"/>
  <c r="C58" i="15"/>
  <c r="C57" i="15"/>
  <c r="R58" i="15"/>
  <c r="S58" i="15"/>
  <c r="T58" i="15"/>
  <c r="U58" i="15"/>
  <c r="V58" i="15"/>
  <c r="W58" i="15"/>
  <c r="X58" i="15"/>
  <c r="Y58" i="15"/>
  <c r="Z58" i="15"/>
  <c r="AA58" i="15"/>
  <c r="C13" i="16"/>
  <c r="C18" i="16"/>
  <c r="G10" i="10"/>
  <c r="U2" i="10"/>
  <c r="P11" i="10"/>
  <c r="H10" i="10"/>
  <c r="V2" i="10"/>
  <c r="P12" i="10"/>
  <c r="I10" i="10"/>
  <c r="W2" i="10"/>
  <c r="P13" i="10"/>
  <c r="J10" i="10"/>
  <c r="X2" i="10"/>
  <c r="P14" i="10"/>
  <c r="K10" i="10"/>
  <c r="Y2" i="10"/>
  <c r="P15" i="10"/>
  <c r="L10" i="10"/>
  <c r="Z2" i="10"/>
  <c r="P16" i="10"/>
  <c r="Y16" i="10"/>
  <c r="M10" i="10"/>
  <c r="AA2" i="10"/>
  <c r="P17" i="10"/>
  <c r="N10" i="10"/>
  <c r="AB2" i="10"/>
  <c r="P18" i="10"/>
  <c r="AA18" i="10"/>
  <c r="AM49" i="16"/>
  <c r="AM50" i="16"/>
  <c r="AM41" i="16"/>
  <c r="AB69" i="16"/>
  <c r="AA69" i="16"/>
  <c r="Z69" i="16"/>
  <c r="Y69" i="16"/>
  <c r="X69" i="16"/>
  <c r="W69" i="16"/>
  <c r="V69" i="16"/>
  <c r="U69" i="16"/>
  <c r="T69" i="16"/>
  <c r="S69" i="16"/>
  <c r="R69" i="16"/>
  <c r="Q69" i="16"/>
  <c r="AL49" i="16"/>
  <c r="AL50" i="16"/>
  <c r="AL41" i="16"/>
  <c r="AK49" i="16"/>
  <c r="AK50" i="16"/>
  <c r="AK41" i="16"/>
  <c r="AJ49" i="16"/>
  <c r="AJ50" i="16"/>
  <c r="R28" i="8"/>
  <c r="AE28" i="8"/>
  <c r="R4" i="8"/>
  <c r="AE4" i="8"/>
  <c r="R2" i="8"/>
  <c r="AE2" i="8"/>
  <c r="E30" i="8"/>
  <c r="AC30" i="8"/>
  <c r="AB30" i="8"/>
  <c r="AA30" i="8"/>
  <c r="Z30" i="8"/>
  <c r="Y30" i="8"/>
  <c r="X30" i="8"/>
  <c r="W30" i="8"/>
  <c r="V30" i="8"/>
  <c r="U30" i="8"/>
  <c r="T30" i="8"/>
  <c r="S30" i="8"/>
  <c r="R30" i="8"/>
  <c r="F30" i="8"/>
  <c r="G30" i="8"/>
  <c r="H30" i="8"/>
  <c r="I30" i="8"/>
  <c r="J30" i="8"/>
  <c r="K30" i="8"/>
  <c r="L30" i="8"/>
  <c r="M30" i="8"/>
  <c r="N30" i="8"/>
  <c r="O30" i="8"/>
  <c r="P30" i="8"/>
  <c r="L1" i="8"/>
  <c r="Y1" i="8"/>
  <c r="AI1" i="8"/>
  <c r="O1" i="8"/>
  <c r="AB1" i="8"/>
  <c r="AL1" i="8"/>
  <c r="E1" i="8"/>
  <c r="R1" i="8"/>
  <c r="AE1" i="8"/>
  <c r="A2" i="8"/>
  <c r="Q4" i="7"/>
  <c r="AD4" i="7"/>
  <c r="Q2" i="7"/>
  <c r="AD2" i="7"/>
  <c r="C16" i="42"/>
  <c r="K1" i="7"/>
  <c r="X1" i="7"/>
  <c r="AH1" i="7"/>
  <c r="N1" i="7"/>
  <c r="AA1" i="7"/>
  <c r="AK1" i="7"/>
  <c r="D1" i="7"/>
  <c r="Q1" i="7"/>
  <c r="AD1" i="7"/>
  <c r="A2" i="7"/>
  <c r="AC14" i="42"/>
  <c r="AC4" i="42"/>
  <c r="AC2" i="42"/>
  <c r="D3" i="42"/>
  <c r="AD15" i="42"/>
  <c r="AE15" i="42"/>
  <c r="AF15" i="42"/>
  <c r="AG15" i="42"/>
  <c r="AH15" i="42"/>
  <c r="AI15" i="42"/>
  <c r="AJ15" i="42"/>
  <c r="AK15" i="42"/>
  <c r="AL15" i="42"/>
  <c r="AC15" i="42"/>
  <c r="J1" i="42"/>
  <c r="W1" i="42"/>
  <c r="AG1" i="42"/>
  <c r="M1" i="42"/>
  <c r="Z1" i="42"/>
  <c r="AJ1" i="42"/>
  <c r="C1" i="42"/>
  <c r="P1" i="42"/>
  <c r="AC1" i="42"/>
  <c r="A2" i="42"/>
  <c r="F3" i="6"/>
  <c r="E19" i="6"/>
  <c r="R4" i="6"/>
  <c r="AE4" i="6"/>
  <c r="R2" i="6"/>
  <c r="AE2" i="6"/>
  <c r="L1" i="6"/>
  <c r="Y1" i="6"/>
  <c r="AI1" i="6"/>
  <c r="O1" i="6"/>
  <c r="AB1" i="6"/>
  <c r="AL1" i="6"/>
  <c r="E1" i="6"/>
  <c r="R1" i="6"/>
  <c r="AE1" i="6"/>
  <c r="A2" i="6"/>
  <c r="A27" i="10"/>
  <c r="AB57" i="10"/>
  <c r="O57" i="10"/>
  <c r="B27" i="10"/>
  <c r="C27" i="10"/>
  <c r="A29" i="10"/>
  <c r="AB59" i="10"/>
  <c r="O59" i="10"/>
  <c r="B29" i="10"/>
  <c r="C29" i="10"/>
  <c r="AD56" i="10"/>
  <c r="Q56" i="10"/>
  <c r="AD60" i="10"/>
  <c r="Q60" i="10"/>
  <c r="A20" i="10"/>
  <c r="A26" i="10"/>
  <c r="AB56" i="10"/>
  <c r="O56" i="10"/>
  <c r="A22" i="10"/>
  <c r="A28" i="10"/>
  <c r="AB58" i="10"/>
  <c r="O58" i="10"/>
  <c r="AB60" i="10"/>
  <c r="O60" i="10"/>
  <c r="O4" i="10"/>
  <c r="P51" i="10"/>
  <c r="P58" i="10"/>
  <c r="P59" i="10"/>
  <c r="A43" i="10"/>
  <c r="P63" i="10"/>
  <c r="P76" i="10"/>
  <c r="C52" i="10"/>
  <c r="B52" i="10"/>
  <c r="A52" i="10"/>
  <c r="B46" i="10"/>
  <c r="Q63" i="10"/>
  <c r="B16" i="10"/>
  <c r="C16" i="10"/>
  <c r="B17" i="10"/>
  <c r="C17" i="10"/>
  <c r="B15" i="10"/>
  <c r="C15" i="10"/>
  <c r="B28" i="10"/>
  <c r="C28" i="10"/>
  <c r="B26" i="10"/>
  <c r="C26" i="10"/>
  <c r="A17" i="10"/>
  <c r="A16" i="10"/>
  <c r="A15" i="10"/>
  <c r="Q2" i="10"/>
  <c r="Q3" i="10"/>
  <c r="P3" i="10"/>
  <c r="P4" i="10"/>
  <c r="P2" i="10"/>
  <c r="O3" i="10"/>
  <c r="O2" i="10"/>
  <c r="K1" i="10"/>
  <c r="G1" i="10"/>
  <c r="B1" i="10"/>
  <c r="A3" i="10"/>
  <c r="A2" i="22"/>
  <c r="P68" i="16"/>
  <c r="AC68" i="16"/>
  <c r="D54" i="16"/>
  <c r="Q54" i="16"/>
  <c r="AD54" i="16"/>
  <c r="D48" i="16"/>
  <c r="Q48" i="16"/>
  <c r="AD48" i="16"/>
  <c r="D40" i="16"/>
  <c r="Q40" i="16"/>
  <c r="AD40" i="16"/>
  <c r="D39" i="16"/>
  <c r="Q39" i="16"/>
  <c r="AD39" i="16"/>
  <c r="D30" i="16"/>
  <c r="Q30" i="16"/>
  <c r="AD30" i="16"/>
  <c r="D21" i="16"/>
  <c r="Q21" i="16"/>
  <c r="AD21" i="16"/>
  <c r="D12" i="16"/>
  <c r="Q12" i="16"/>
  <c r="AD12" i="16"/>
  <c r="D11" i="16"/>
  <c r="Q11" i="16"/>
  <c r="AD11" i="16"/>
  <c r="Q8" i="16"/>
  <c r="Q6" i="16"/>
  <c r="AD6" i="16"/>
  <c r="N5" i="16"/>
  <c r="AA5" i="16"/>
  <c r="AK5" i="16"/>
  <c r="K5" i="16"/>
  <c r="X5" i="16"/>
  <c r="AH5" i="16"/>
  <c r="D5" i="16"/>
  <c r="Q5" i="16"/>
  <c r="AD5" i="16"/>
  <c r="A6" i="16"/>
  <c r="E5" i="14"/>
  <c r="F5" i="14"/>
  <c r="G5" i="14"/>
  <c r="H5" i="14"/>
  <c r="I5" i="14"/>
  <c r="J5" i="14"/>
  <c r="K5" i="14"/>
  <c r="L5" i="14"/>
  <c r="M5" i="14"/>
  <c r="N5" i="14"/>
  <c r="O5" i="14"/>
  <c r="Q5" i="14"/>
  <c r="R5" i="14"/>
  <c r="S5" i="14"/>
  <c r="T5" i="14"/>
  <c r="U5" i="14"/>
  <c r="V5" i="14"/>
  <c r="W5" i="14"/>
  <c r="X5" i="14"/>
  <c r="Y5" i="14"/>
  <c r="Z5" i="14"/>
  <c r="AA5" i="14"/>
  <c r="AB5" i="14"/>
  <c r="Q4" i="14"/>
  <c r="AD4" i="14"/>
  <c r="A4" i="14"/>
  <c r="D3" i="14"/>
  <c r="Q3" i="14"/>
  <c r="AD3" i="14"/>
  <c r="K3" i="14"/>
  <c r="X3" i="14"/>
  <c r="AH3" i="14"/>
  <c r="N3" i="14"/>
  <c r="AA3" i="14"/>
  <c r="AK3" i="14"/>
  <c r="P35" i="14"/>
  <c r="C22" i="15"/>
  <c r="P22" i="15"/>
  <c r="AC22" i="15"/>
  <c r="C21" i="15"/>
  <c r="P21" i="15"/>
  <c r="AC21" i="15"/>
  <c r="C11" i="15"/>
  <c r="P11" i="15"/>
  <c r="AC11" i="15"/>
  <c r="P8" i="15"/>
  <c r="P6" i="15"/>
  <c r="A6" i="15"/>
  <c r="C5" i="15"/>
  <c r="J5" i="15"/>
  <c r="M5" i="15"/>
  <c r="B39" i="11"/>
  <c r="A2" i="11"/>
  <c r="B2" i="11"/>
  <c r="A1" i="11"/>
  <c r="B3" i="11"/>
  <c r="D2" i="3"/>
  <c r="A2" i="3"/>
  <c r="A1" i="3"/>
  <c r="D37" i="9"/>
  <c r="F14" i="9"/>
  <c r="G14" i="9"/>
  <c r="H14" i="9"/>
  <c r="I14" i="9"/>
  <c r="J14" i="9"/>
  <c r="K14" i="9"/>
  <c r="L14" i="9"/>
  <c r="M14" i="9"/>
  <c r="D29" i="9"/>
  <c r="D20" i="9"/>
  <c r="E14" i="9"/>
  <c r="H1" i="9"/>
  <c r="K1" i="9"/>
  <c r="D1" i="9"/>
  <c r="A2" i="9"/>
  <c r="E3" i="5"/>
  <c r="A14" i="5"/>
  <c r="Q2" i="5"/>
  <c r="AD2" i="5"/>
  <c r="R16" i="5"/>
  <c r="S16" i="5"/>
  <c r="T16" i="5"/>
  <c r="U16" i="5"/>
  <c r="V16" i="5"/>
  <c r="W16" i="5"/>
  <c r="X16" i="5"/>
  <c r="Y16" i="5"/>
  <c r="Z16" i="5"/>
  <c r="AA16" i="5"/>
  <c r="AB16" i="5"/>
  <c r="Q16" i="5"/>
  <c r="E16" i="5"/>
  <c r="F16" i="5"/>
  <c r="G16" i="5"/>
  <c r="H16" i="5"/>
  <c r="I16" i="5"/>
  <c r="J16" i="5"/>
  <c r="K16" i="5"/>
  <c r="L16" i="5"/>
  <c r="M16" i="5"/>
  <c r="N16" i="5"/>
  <c r="O16" i="5"/>
  <c r="D16" i="5"/>
  <c r="AE15" i="5"/>
  <c r="AF15" i="5"/>
  <c r="AG15" i="5"/>
  <c r="AH15" i="5"/>
  <c r="AI15" i="5"/>
  <c r="AJ15" i="5"/>
  <c r="AK15" i="5"/>
  <c r="AL15" i="5"/>
  <c r="AM15" i="5"/>
  <c r="AD15" i="5"/>
  <c r="AD14" i="5"/>
  <c r="Q4" i="5"/>
  <c r="AD4" i="5"/>
  <c r="K1" i="5"/>
  <c r="X1" i="5"/>
  <c r="AH1" i="5"/>
  <c r="N1" i="5"/>
  <c r="AA1" i="5"/>
  <c r="AK1" i="5"/>
  <c r="D1" i="5"/>
  <c r="Q1" i="5"/>
  <c r="AD1" i="5"/>
  <c r="A2" i="5"/>
  <c r="Q5" i="24"/>
  <c r="AD5" i="24"/>
  <c r="S5" i="24"/>
  <c r="AF5" i="24"/>
  <c r="O2" i="24"/>
  <c r="AB2" i="24"/>
  <c r="A18" i="24"/>
  <c r="A26" i="24"/>
  <c r="A33" i="24"/>
  <c r="A36" i="24"/>
  <c r="A55" i="24"/>
  <c r="R4" i="24"/>
  <c r="AE4" i="24"/>
  <c r="S4" i="24"/>
  <c r="AF4" i="24"/>
  <c r="Q4" i="24"/>
  <c r="AD4" i="24"/>
  <c r="P4" i="24"/>
  <c r="AC4" i="24"/>
  <c r="O4" i="24"/>
  <c r="AB4" i="24"/>
  <c r="Z15" i="24"/>
  <c r="Z23" i="24"/>
  <c r="Z48" i="24"/>
  <c r="Y15" i="24"/>
  <c r="Y23" i="24"/>
  <c r="Y48" i="24"/>
  <c r="X15" i="24"/>
  <c r="X23" i="24"/>
  <c r="X48" i="24"/>
  <c r="W15" i="24"/>
  <c r="W23" i="24"/>
  <c r="W48" i="24"/>
  <c r="V15" i="24"/>
  <c r="V23" i="24"/>
  <c r="V48" i="24"/>
  <c r="U15" i="24"/>
  <c r="U23" i="24"/>
  <c r="U48" i="24"/>
  <c r="T15" i="24"/>
  <c r="T23" i="24"/>
  <c r="T48" i="24"/>
  <c r="S15" i="24"/>
  <c r="S23" i="24"/>
  <c r="S48" i="24"/>
  <c r="R15" i="24"/>
  <c r="R23" i="24"/>
  <c r="R48" i="24"/>
  <c r="Q15" i="24"/>
  <c r="Q23" i="24"/>
  <c r="Q48" i="24"/>
  <c r="P15" i="24"/>
  <c r="P23" i="24"/>
  <c r="P48" i="24"/>
  <c r="O15" i="24"/>
  <c r="O23" i="24"/>
  <c r="O48" i="24"/>
  <c r="M15" i="24"/>
  <c r="M23" i="24"/>
  <c r="M48" i="24"/>
  <c r="L15" i="24"/>
  <c r="L23" i="24"/>
  <c r="L48" i="24"/>
  <c r="K15" i="24"/>
  <c r="K23" i="24"/>
  <c r="K48" i="24"/>
  <c r="J15" i="24"/>
  <c r="J23" i="24"/>
  <c r="J48" i="24"/>
  <c r="I15" i="24"/>
  <c r="I23" i="24"/>
  <c r="I48" i="24"/>
  <c r="H15" i="24"/>
  <c r="H23" i="24"/>
  <c r="H48" i="24"/>
  <c r="G15" i="24"/>
  <c r="G23" i="24"/>
  <c r="G48" i="24"/>
  <c r="F15" i="24"/>
  <c r="F23" i="24"/>
  <c r="F48" i="24"/>
  <c r="E15" i="24"/>
  <c r="E23" i="24"/>
  <c r="E48" i="24"/>
  <c r="D15" i="24"/>
  <c r="D23" i="24"/>
  <c r="D48" i="24"/>
  <c r="C15" i="24"/>
  <c r="C23" i="24"/>
  <c r="C48" i="24"/>
  <c r="B15" i="24"/>
  <c r="B23" i="24"/>
  <c r="B48" i="24"/>
  <c r="I1" i="24"/>
  <c r="V1" i="24"/>
  <c r="AF1" i="24"/>
  <c r="L1" i="24"/>
  <c r="Y1" i="24"/>
  <c r="AI1" i="24"/>
  <c r="B1" i="24"/>
  <c r="O1" i="24"/>
  <c r="AB1" i="24"/>
  <c r="A2" i="24"/>
  <c r="Q5" i="23"/>
  <c r="AD5" i="23"/>
  <c r="S5" i="23"/>
  <c r="AF5" i="23"/>
  <c r="A18" i="23"/>
  <c r="A26" i="23"/>
  <c r="R4" i="23"/>
  <c r="AE4" i="23"/>
  <c r="S4" i="23"/>
  <c r="AF4" i="23"/>
  <c r="Q4" i="23"/>
  <c r="AD4" i="23"/>
  <c r="P4" i="23"/>
  <c r="AC4" i="23"/>
  <c r="O4" i="23"/>
  <c r="AB4" i="23"/>
  <c r="O2" i="23"/>
  <c r="AB2" i="23"/>
  <c r="Z15" i="23"/>
  <c r="Z23" i="23"/>
  <c r="Z48" i="23"/>
  <c r="Y15" i="23"/>
  <c r="Y23" i="23"/>
  <c r="Y48" i="23"/>
  <c r="X15" i="23"/>
  <c r="X23" i="23"/>
  <c r="X48" i="23"/>
  <c r="W15" i="23"/>
  <c r="W23" i="23"/>
  <c r="W48" i="23"/>
  <c r="V15" i="23"/>
  <c r="V23" i="23"/>
  <c r="V48" i="23"/>
  <c r="U15" i="23"/>
  <c r="U23" i="23"/>
  <c r="U48" i="23"/>
  <c r="T15" i="23"/>
  <c r="T23" i="23"/>
  <c r="T48" i="23"/>
  <c r="S15" i="23"/>
  <c r="S23" i="23"/>
  <c r="S48" i="23"/>
  <c r="R15" i="23"/>
  <c r="R23" i="23"/>
  <c r="R48" i="23"/>
  <c r="Q15" i="23"/>
  <c r="Q23" i="23"/>
  <c r="Q48" i="23"/>
  <c r="P15" i="23"/>
  <c r="P23" i="23"/>
  <c r="P48" i="23"/>
  <c r="O15" i="23"/>
  <c r="O23" i="23"/>
  <c r="O48" i="23"/>
  <c r="M15" i="23"/>
  <c r="M23" i="23"/>
  <c r="M48" i="23"/>
  <c r="L15" i="23"/>
  <c r="L23" i="23"/>
  <c r="L48" i="23"/>
  <c r="K15" i="23"/>
  <c r="K23" i="23"/>
  <c r="K48" i="23"/>
  <c r="J15" i="23"/>
  <c r="J23" i="23"/>
  <c r="J48" i="23"/>
  <c r="I15" i="23"/>
  <c r="I23" i="23"/>
  <c r="I48" i="23"/>
  <c r="H15" i="23"/>
  <c r="H23" i="23"/>
  <c r="H48" i="23"/>
  <c r="G15" i="23"/>
  <c r="G23" i="23"/>
  <c r="G48" i="23"/>
  <c r="F15" i="23"/>
  <c r="F23" i="23"/>
  <c r="F48" i="23"/>
  <c r="E15" i="23"/>
  <c r="E23" i="23"/>
  <c r="E48" i="23"/>
  <c r="D15" i="23"/>
  <c r="D23" i="23"/>
  <c r="D48" i="23"/>
  <c r="C15" i="23"/>
  <c r="C23" i="23"/>
  <c r="C48" i="23"/>
  <c r="B15" i="23"/>
  <c r="B23" i="23"/>
  <c r="B48" i="23"/>
  <c r="I1" i="23"/>
  <c r="V1" i="23"/>
  <c r="AF1" i="23"/>
  <c r="L1" i="23"/>
  <c r="Y1" i="23"/>
  <c r="AI1" i="23"/>
  <c r="B1" i="23"/>
  <c r="O1" i="23"/>
  <c r="AB1" i="23"/>
  <c r="A2" i="23"/>
  <c r="F3" i="5"/>
  <c r="E24" i="5"/>
  <c r="E12" i="5"/>
  <c r="E10" i="5"/>
  <c r="D10" i="42"/>
  <c r="E8" i="5"/>
  <c r="E7" i="5"/>
  <c r="E11" i="5"/>
  <c r="E27" i="7"/>
  <c r="E9" i="7"/>
  <c r="E7" i="7"/>
  <c r="E8" i="7"/>
  <c r="E11" i="7"/>
  <c r="E19" i="7"/>
  <c r="E16" i="7"/>
  <c r="E13" i="7"/>
  <c r="E10" i="7"/>
  <c r="F44" i="8"/>
  <c r="F16" i="8"/>
  <c r="S16" i="8"/>
  <c r="F11" i="8"/>
  <c r="F8" i="8"/>
  <c r="F36" i="8"/>
  <c r="F34" i="8"/>
  <c r="F32" i="8"/>
  <c r="F22" i="8"/>
  <c r="F20" i="8"/>
  <c r="F10" i="8"/>
  <c r="F31" i="8"/>
  <c r="G21" i="8"/>
  <c r="F15" i="8"/>
  <c r="F35" i="8"/>
  <c r="F33" i="8"/>
  <c r="F9" i="8"/>
  <c r="G7" i="8"/>
  <c r="E3" i="42"/>
  <c r="D26" i="42"/>
  <c r="G3" i="6"/>
  <c r="F13" i="6"/>
  <c r="F11" i="6"/>
  <c r="F9" i="6"/>
  <c r="F7" i="6"/>
  <c r="F10" i="6"/>
  <c r="F12" i="6"/>
  <c r="F8" i="6"/>
  <c r="E87" i="44"/>
  <c r="C86" i="44"/>
  <c r="B12" i="11"/>
  <c r="E49" i="8"/>
  <c r="D41" i="7"/>
  <c r="C47" i="9"/>
  <c r="C55" i="9"/>
  <c r="B10" i="11"/>
  <c r="AC7" i="21"/>
  <c r="AM7" i="21"/>
  <c r="AB26" i="15"/>
  <c r="P33" i="15"/>
  <c r="AC33" i="15"/>
  <c r="B9" i="24"/>
  <c r="F7" i="16"/>
  <c r="Z5" i="15"/>
  <c r="AJ5" i="15"/>
  <c r="W5" i="15"/>
  <c r="AG5" i="15"/>
  <c r="P5" i="15"/>
  <c r="AC5" i="15"/>
  <c r="AC6" i="15"/>
  <c r="E57" i="15"/>
  <c r="E59" i="15"/>
  <c r="D60" i="15"/>
  <c r="D57" i="15"/>
  <c r="D59" i="15"/>
  <c r="C60" i="15"/>
  <c r="L38" i="15"/>
  <c r="O38" i="15"/>
  <c r="AC38" i="15"/>
  <c r="B25" i="11"/>
  <c r="AD57" i="10"/>
  <c r="Q57" i="10"/>
  <c r="C31" i="16"/>
  <c r="F12" i="10"/>
  <c r="T4" i="10"/>
  <c r="P42" i="10"/>
  <c r="S42" i="10"/>
  <c r="K11" i="10"/>
  <c r="Y3" i="10"/>
  <c r="P31" i="10"/>
  <c r="X31" i="10"/>
  <c r="H11" i="10"/>
  <c r="V3" i="10"/>
  <c r="P28" i="10"/>
  <c r="U28" i="10"/>
  <c r="F43" i="10"/>
  <c r="S63" i="10"/>
  <c r="P67" i="10"/>
  <c r="S67" i="10"/>
  <c r="L39" i="15"/>
  <c r="O39" i="15"/>
  <c r="AC39" i="15"/>
  <c r="E20" i="3"/>
  <c r="E27" i="3"/>
  <c r="I11" i="10"/>
  <c r="W3" i="10"/>
  <c r="P29" i="10"/>
  <c r="V29" i="10"/>
  <c r="L11" i="10"/>
  <c r="Z3" i="10"/>
  <c r="P32" i="10"/>
  <c r="Y32" i="10"/>
  <c r="G11" i="10"/>
  <c r="U3" i="10"/>
  <c r="P27" i="10"/>
  <c r="T27" i="10"/>
  <c r="L12" i="10"/>
  <c r="Z4" i="10"/>
  <c r="P48" i="10"/>
  <c r="Y48" i="10"/>
  <c r="I12" i="10"/>
  <c r="W4" i="10"/>
  <c r="P45" i="10"/>
  <c r="V45" i="10"/>
  <c r="AF27" i="15"/>
  <c r="N12" i="10"/>
  <c r="AB4" i="10"/>
  <c r="P50" i="10"/>
  <c r="AA50" i="10"/>
  <c r="M12" i="10"/>
  <c r="AA4" i="10"/>
  <c r="P49" i="10"/>
  <c r="Z49" i="10"/>
  <c r="K12" i="10"/>
  <c r="Y4" i="10"/>
  <c r="P47" i="10"/>
  <c r="X47" i="10"/>
  <c r="J12" i="10"/>
  <c r="X4" i="10"/>
  <c r="P46" i="10"/>
  <c r="W46" i="10"/>
  <c r="O5" i="23"/>
  <c r="AB5" i="23"/>
  <c r="R5" i="23"/>
  <c r="AE5" i="23"/>
  <c r="R5" i="24"/>
  <c r="AE5" i="24"/>
  <c r="P5" i="24"/>
  <c r="AC5" i="24"/>
  <c r="E47" i="9"/>
  <c r="N43" i="10"/>
  <c r="AA63" i="10"/>
  <c r="P75" i="10"/>
  <c r="AA75" i="10"/>
  <c r="M43" i="10"/>
  <c r="Z63" i="10"/>
  <c r="P74" i="10"/>
  <c r="Z74" i="10"/>
  <c r="L43" i="10"/>
  <c r="Y63" i="10"/>
  <c r="P73" i="10"/>
  <c r="Y73" i="10"/>
  <c r="G43" i="10"/>
  <c r="T63" i="10"/>
  <c r="P68" i="10"/>
  <c r="T68" i="10"/>
  <c r="D70" i="16"/>
  <c r="K47" i="9"/>
  <c r="K55" i="9"/>
  <c r="J11" i="10"/>
  <c r="X3" i="10"/>
  <c r="P30" i="10"/>
  <c r="W30" i="10"/>
  <c r="B27" i="15"/>
  <c r="C25" i="16"/>
  <c r="B23" i="3"/>
  <c r="D11" i="10"/>
  <c r="R3" i="10"/>
  <c r="B22" i="3"/>
  <c r="T2" i="10"/>
  <c r="P10" i="10"/>
  <c r="S10" i="10"/>
  <c r="B26" i="15"/>
  <c r="C24" i="16"/>
  <c r="E43" i="10"/>
  <c r="C30" i="23"/>
  <c r="C31" i="23"/>
  <c r="T3" i="10"/>
  <c r="P26" i="10"/>
  <c r="S26" i="10"/>
  <c r="D43" i="10"/>
  <c r="AC28" i="15"/>
  <c r="O28" i="15"/>
  <c r="E28" i="15"/>
  <c r="F7" i="15"/>
  <c r="H4" i="24"/>
  <c r="H5" i="24"/>
  <c r="E16" i="42"/>
  <c r="D16" i="42"/>
  <c r="F19" i="6"/>
  <c r="AB38" i="8"/>
  <c r="AB39" i="8"/>
  <c r="AC38" i="8"/>
  <c r="AC39" i="8"/>
  <c r="G19" i="6"/>
  <c r="Z38" i="8"/>
  <c r="Z39" i="8"/>
  <c r="AC27" i="15"/>
  <c r="E12" i="10"/>
  <c r="S4" i="10"/>
  <c r="C19" i="16"/>
  <c r="B17" i="3"/>
  <c r="Y38" i="8"/>
  <c r="Y39" i="8"/>
  <c r="U38" i="8"/>
  <c r="U39" i="8"/>
  <c r="R38" i="8"/>
  <c r="R39" i="8"/>
  <c r="F47" i="9"/>
  <c r="F55" i="9"/>
  <c r="AE60" i="10"/>
  <c r="R60" i="10"/>
  <c r="B28" i="15"/>
  <c r="C26" i="16"/>
  <c r="AL26" i="15"/>
  <c r="N11" i="10"/>
  <c r="AB3" i="10"/>
  <c r="P34" i="10"/>
  <c r="AA34" i="10"/>
  <c r="AK26" i="15"/>
  <c r="L47" i="9"/>
  <c r="L55" i="9"/>
  <c r="M11" i="10"/>
  <c r="AA3" i="10"/>
  <c r="P33" i="10"/>
  <c r="Z33" i="10"/>
  <c r="M47" i="9"/>
  <c r="M55" i="9"/>
  <c r="H12" i="10"/>
  <c r="V4" i="10"/>
  <c r="P44" i="10"/>
  <c r="U44" i="10"/>
  <c r="G47" i="9"/>
  <c r="G55" i="9"/>
  <c r="E39" i="7"/>
  <c r="E41" i="7"/>
  <c r="F3" i="7"/>
  <c r="S38" i="8"/>
  <c r="S39" i="8"/>
  <c r="AA38" i="8"/>
  <c r="AA39" i="8"/>
  <c r="X38" i="8"/>
  <c r="X39" i="8"/>
  <c r="C59" i="15"/>
  <c r="T38" i="8"/>
  <c r="T39" i="8"/>
  <c r="W38" i="8"/>
  <c r="W39" i="8"/>
  <c r="B33" i="3"/>
  <c r="C33" i="16"/>
  <c r="E11" i="10"/>
  <c r="S3" i="10"/>
  <c r="AC26" i="15"/>
  <c r="AG27" i="15"/>
  <c r="I43" i="10"/>
  <c r="V63" i="10"/>
  <c r="P70" i="10"/>
  <c r="V70" i="10"/>
  <c r="F47" i="8"/>
  <c r="F49" i="8"/>
  <c r="G3" i="8"/>
  <c r="F68" i="16"/>
  <c r="F70" i="16"/>
  <c r="G7" i="16"/>
  <c r="T4" i="23"/>
  <c r="AG4" i="23"/>
  <c r="H47" i="9"/>
  <c r="H55" i="9"/>
  <c r="U63" i="10"/>
  <c r="P69" i="10"/>
  <c r="U69" i="10"/>
  <c r="G12" i="10"/>
  <c r="U4" i="10"/>
  <c r="P43" i="10"/>
  <c r="T43" i="10"/>
  <c r="C30" i="24"/>
  <c r="C31" i="24"/>
  <c r="D3" i="24"/>
  <c r="C43" i="16"/>
  <c r="C46" i="16"/>
  <c r="C52" i="16"/>
  <c r="C19" i="21"/>
  <c r="D7" i="21"/>
  <c r="Q7" i="21"/>
  <c r="AD7" i="21"/>
  <c r="O5" i="24"/>
  <c r="AB5" i="24"/>
  <c r="T4" i="24"/>
  <c r="AG4" i="24"/>
  <c r="AE58" i="10"/>
  <c r="R58" i="10"/>
  <c r="E28" i="10"/>
  <c r="AE56" i="10"/>
  <c r="E16" i="6"/>
  <c r="A46" i="10"/>
  <c r="E70" i="16"/>
  <c r="R2" i="10"/>
  <c r="G3" i="5"/>
  <c r="E35" i="14"/>
  <c r="G35" i="14"/>
  <c r="I35" i="14"/>
  <c r="K35" i="14"/>
  <c r="M35" i="14"/>
  <c r="O35" i="14"/>
  <c r="D35" i="14"/>
  <c r="F35" i="14"/>
  <c r="H35" i="14"/>
  <c r="J35" i="14"/>
  <c r="L35" i="14"/>
  <c r="N35" i="14"/>
  <c r="Q35" i="14"/>
  <c r="R35" i="14"/>
  <c r="S35" i="14"/>
  <c r="T35" i="14"/>
  <c r="U35" i="14"/>
  <c r="V35" i="14"/>
  <c r="W35" i="14"/>
  <c r="X35" i="14"/>
  <c r="Y35" i="14"/>
  <c r="Z35" i="14"/>
  <c r="AA35" i="14"/>
  <c r="AB35" i="14"/>
  <c r="AC35" i="14"/>
  <c r="AD35" i="14"/>
  <c r="AE35" i="14"/>
  <c r="AF35" i="14"/>
  <c r="AG35" i="14"/>
  <c r="AH35" i="14"/>
  <c r="AI35" i="14"/>
  <c r="AJ35" i="14"/>
  <c r="AK35" i="14"/>
  <c r="AL35" i="14"/>
  <c r="AM35" i="14"/>
  <c r="F16" i="42"/>
  <c r="Z17" i="10"/>
  <c r="X15" i="10"/>
  <c r="W14" i="10"/>
  <c r="T11" i="10"/>
  <c r="V13" i="10"/>
  <c r="U12" i="10"/>
  <c r="AD27" i="15"/>
  <c r="AB27" i="15"/>
  <c r="P27" i="15"/>
  <c r="D12" i="10"/>
  <c r="R4" i="10"/>
  <c r="E3" i="23"/>
  <c r="Q12" i="8"/>
  <c r="AE12" i="8"/>
  <c r="F52" i="8"/>
  <c r="F28" i="6"/>
  <c r="F37" i="8"/>
  <c r="F53" i="8"/>
  <c r="G44" i="8"/>
  <c r="G8" i="8"/>
  <c r="G36" i="8"/>
  <c r="G34" i="8"/>
  <c r="G32" i="8"/>
  <c r="G20" i="8"/>
  <c r="G15" i="8"/>
  <c r="G35" i="8"/>
  <c r="G33" i="8"/>
  <c r="G9" i="8"/>
  <c r="H7" i="8"/>
  <c r="G31" i="8"/>
  <c r="G10" i="8"/>
  <c r="G22" i="8"/>
  <c r="G16" i="8"/>
  <c r="T16" i="8"/>
  <c r="H21" i="8"/>
  <c r="G11" i="8"/>
  <c r="D9" i="42"/>
  <c r="E19" i="5"/>
  <c r="D11" i="42"/>
  <c r="E20" i="5"/>
  <c r="H3" i="6"/>
  <c r="G13" i="6"/>
  <c r="G11" i="6"/>
  <c r="G9" i="6"/>
  <c r="G7" i="6"/>
  <c r="G12" i="6"/>
  <c r="G10" i="6"/>
  <c r="G8" i="6"/>
  <c r="D7" i="42"/>
  <c r="E17" i="5"/>
  <c r="G10" i="5"/>
  <c r="F10" i="42"/>
  <c r="F20" i="42"/>
  <c r="G24" i="5"/>
  <c r="G7" i="5"/>
  <c r="G12" i="5"/>
  <c r="G11" i="5"/>
  <c r="G9" i="5"/>
  <c r="G8" i="5"/>
  <c r="D8" i="42"/>
  <c r="E18" i="5"/>
  <c r="F3" i="42"/>
  <c r="E26" i="42"/>
  <c r="D20" i="42"/>
  <c r="D12" i="42"/>
  <c r="E21" i="5"/>
  <c r="F27" i="7"/>
  <c r="F7" i="7"/>
  <c r="F11" i="7"/>
  <c r="F19" i="7"/>
  <c r="F13" i="7"/>
  <c r="F9" i="7"/>
  <c r="F16" i="7"/>
  <c r="F8" i="7"/>
  <c r="F10" i="7"/>
  <c r="F14" i="6"/>
  <c r="F12" i="5"/>
  <c r="F10" i="5"/>
  <c r="E10" i="42"/>
  <c r="E20" i="42"/>
  <c r="F8" i="5"/>
  <c r="F24" i="5"/>
  <c r="F7" i="5"/>
  <c r="F11" i="5"/>
  <c r="F9" i="5"/>
  <c r="E88" i="44"/>
  <c r="C87" i="44"/>
  <c r="O26" i="15"/>
  <c r="E26" i="15"/>
  <c r="P26" i="15"/>
  <c r="B43" i="23"/>
  <c r="B9" i="23"/>
  <c r="D71" i="16"/>
  <c r="E55" i="9"/>
  <c r="O27" i="15"/>
  <c r="E27" i="15"/>
  <c r="P5" i="21"/>
  <c r="AC5" i="21"/>
  <c r="AM5" i="21"/>
  <c r="D31" i="23"/>
  <c r="B10" i="23"/>
  <c r="B41" i="23"/>
  <c r="R63" i="10"/>
  <c r="P66" i="10"/>
  <c r="R66" i="10"/>
  <c r="R76" i="10"/>
  <c r="E46" i="10"/>
  <c r="E54" i="10"/>
  <c r="E58" i="10"/>
  <c r="P25" i="10"/>
  <c r="R25" i="10"/>
  <c r="R35" i="10"/>
  <c r="E16" i="10"/>
  <c r="B19" i="15"/>
  <c r="G7" i="15"/>
  <c r="F57" i="15"/>
  <c r="F59" i="15"/>
  <c r="E60" i="15"/>
  <c r="AD14" i="16"/>
  <c r="AD15" i="16"/>
  <c r="AE15" i="16"/>
  <c r="AF31" i="8"/>
  <c r="P41" i="10"/>
  <c r="R41" i="10"/>
  <c r="R51" i="10"/>
  <c r="E17" i="10"/>
  <c r="B25" i="3"/>
  <c r="B35" i="3"/>
  <c r="B33" i="11"/>
  <c r="C28" i="16"/>
  <c r="B52" i="15"/>
  <c r="E52" i="10"/>
  <c r="E55" i="10"/>
  <c r="Q25" i="8"/>
  <c r="E59" i="10"/>
  <c r="G47" i="8"/>
  <c r="G49" i="8"/>
  <c r="H3" i="8"/>
  <c r="D30" i="24"/>
  <c r="D31" i="24"/>
  <c r="E3" i="24"/>
  <c r="F39" i="7"/>
  <c r="F41" i="7"/>
  <c r="G3" i="7"/>
  <c r="C35" i="16"/>
  <c r="E33" i="10"/>
  <c r="P23" i="7"/>
  <c r="G68" i="16"/>
  <c r="G70" i="16"/>
  <c r="H7" i="16"/>
  <c r="R56" i="10"/>
  <c r="E26" i="10"/>
  <c r="E38" i="10"/>
  <c r="G16" i="42"/>
  <c r="E30" i="23"/>
  <c r="F3" i="23"/>
  <c r="H3" i="5"/>
  <c r="AE7" i="5"/>
  <c r="F38" i="8"/>
  <c r="G28" i="6"/>
  <c r="G52" i="8"/>
  <c r="AG31" i="8"/>
  <c r="AF52" i="8"/>
  <c r="AF37" i="8"/>
  <c r="F15" i="6"/>
  <c r="F16" i="6"/>
  <c r="F29" i="6"/>
  <c r="E31" i="21"/>
  <c r="G37" i="8"/>
  <c r="G53" i="8"/>
  <c r="E12" i="42"/>
  <c r="E22" i="42"/>
  <c r="F21" i="5"/>
  <c r="F9" i="42"/>
  <c r="F19" i="42"/>
  <c r="G19" i="5"/>
  <c r="F11" i="42"/>
  <c r="F21" i="42"/>
  <c r="G20" i="5"/>
  <c r="H13" i="6"/>
  <c r="H11" i="6"/>
  <c r="H9" i="6"/>
  <c r="H7" i="6"/>
  <c r="H12" i="6"/>
  <c r="H10" i="6"/>
  <c r="H8" i="6"/>
  <c r="H19" i="6"/>
  <c r="I3" i="6"/>
  <c r="H7" i="5"/>
  <c r="H11" i="5"/>
  <c r="H9" i="5"/>
  <c r="H24" i="5"/>
  <c r="H12" i="5"/>
  <c r="H10" i="5"/>
  <c r="G10" i="42"/>
  <c r="H8" i="5"/>
  <c r="H44" i="8"/>
  <c r="H36" i="8"/>
  <c r="H34" i="8"/>
  <c r="H32" i="8"/>
  <c r="H20" i="8"/>
  <c r="H15" i="8"/>
  <c r="H8" i="8"/>
  <c r="H35" i="8"/>
  <c r="H33" i="8"/>
  <c r="H31" i="8"/>
  <c r="H9" i="8"/>
  <c r="I7" i="8"/>
  <c r="V7" i="8"/>
  <c r="H11" i="8"/>
  <c r="H22" i="8"/>
  <c r="H16" i="8"/>
  <c r="U16" i="8"/>
  <c r="H10" i="8"/>
  <c r="I21" i="8"/>
  <c r="E9" i="42"/>
  <c r="E19" i="42"/>
  <c r="F19" i="5"/>
  <c r="D18" i="42"/>
  <c r="F12" i="42"/>
  <c r="F22" i="42"/>
  <c r="G21" i="5"/>
  <c r="D19" i="42"/>
  <c r="E11" i="42"/>
  <c r="E21" i="42"/>
  <c r="F20" i="5"/>
  <c r="F7" i="42"/>
  <c r="F17" i="42"/>
  <c r="G17" i="5"/>
  <c r="E7" i="42"/>
  <c r="E17" i="42"/>
  <c r="F17" i="5"/>
  <c r="D21" i="42"/>
  <c r="F39" i="8"/>
  <c r="G14" i="6"/>
  <c r="D22" i="42"/>
  <c r="E8" i="42"/>
  <c r="E18" i="42"/>
  <c r="F18" i="5"/>
  <c r="F26" i="42"/>
  <c r="G3" i="42"/>
  <c r="E22" i="5"/>
  <c r="G27" i="7"/>
  <c r="G11" i="7"/>
  <c r="G13" i="7"/>
  <c r="G10" i="7"/>
  <c r="G16" i="7"/>
  <c r="G8" i="7"/>
  <c r="G19" i="7"/>
  <c r="G7" i="7"/>
  <c r="G9" i="7"/>
  <c r="F8" i="42"/>
  <c r="F18" i="42"/>
  <c r="G18" i="5"/>
  <c r="D17" i="42"/>
  <c r="E89" i="44"/>
  <c r="C88" i="44"/>
  <c r="AF7" i="5"/>
  <c r="AD17" i="42"/>
  <c r="AE17" i="5"/>
  <c r="AE22" i="5"/>
  <c r="D32" i="16"/>
  <c r="D22" i="16"/>
  <c r="E71" i="16"/>
  <c r="F71" i="16"/>
  <c r="D25" i="16"/>
  <c r="D31" i="16"/>
  <c r="D26" i="16"/>
  <c r="D33" i="16"/>
  <c r="D24" i="16"/>
  <c r="D23" i="16"/>
  <c r="E30" i="3"/>
  <c r="E33" i="3"/>
  <c r="E35" i="3"/>
  <c r="B37" i="3"/>
  <c r="D37" i="3"/>
  <c r="E31" i="23"/>
  <c r="AE25" i="8"/>
  <c r="AD80" i="16"/>
  <c r="P80" i="16"/>
  <c r="B43" i="24"/>
  <c r="B11" i="23"/>
  <c r="B12" i="23"/>
  <c r="B10" i="24"/>
  <c r="B41" i="24"/>
  <c r="B54" i="15"/>
  <c r="C17" i="44"/>
  <c r="G57" i="15"/>
  <c r="G59" i="15"/>
  <c r="F60" i="15"/>
  <c r="H7" i="15"/>
  <c r="AG15" i="16"/>
  <c r="AF15" i="16"/>
  <c r="AF14" i="16"/>
  <c r="AG14" i="16"/>
  <c r="R16" i="6"/>
  <c r="Q31" i="21"/>
  <c r="E56" i="10"/>
  <c r="E63" i="10"/>
  <c r="C37" i="16"/>
  <c r="G39" i="7"/>
  <c r="G41" i="7"/>
  <c r="H3" i="7"/>
  <c r="E30" i="24"/>
  <c r="E31" i="24"/>
  <c r="F3" i="24"/>
  <c r="H47" i="8"/>
  <c r="H49" i="8"/>
  <c r="I3" i="8"/>
  <c r="H68" i="16"/>
  <c r="H70" i="16"/>
  <c r="I7" i="16"/>
  <c r="Q24" i="8"/>
  <c r="P79" i="16"/>
  <c r="E60" i="10"/>
  <c r="I3" i="5"/>
  <c r="F30" i="23"/>
  <c r="G3" i="23"/>
  <c r="H16" i="42"/>
  <c r="H52" i="8"/>
  <c r="E34" i="21"/>
  <c r="E32" i="21"/>
  <c r="E36" i="21"/>
  <c r="E33" i="21"/>
  <c r="Q32" i="21"/>
  <c r="Q36" i="21"/>
  <c r="G38" i="8"/>
  <c r="G39" i="8"/>
  <c r="AH31" i="8"/>
  <c r="AG52" i="8"/>
  <c r="AG37" i="8"/>
  <c r="AG44" i="8"/>
  <c r="H28" i="6"/>
  <c r="G15" i="6"/>
  <c r="G16" i="6"/>
  <c r="G29" i="6"/>
  <c r="F31" i="21"/>
  <c r="H37" i="8"/>
  <c r="H53" i="8"/>
  <c r="F22" i="5"/>
  <c r="F10" i="14"/>
  <c r="F12" i="14"/>
  <c r="G11" i="42"/>
  <c r="G21" i="42"/>
  <c r="H20" i="5"/>
  <c r="H14" i="6"/>
  <c r="G26" i="42"/>
  <c r="H3" i="42"/>
  <c r="G7" i="42"/>
  <c r="H17" i="5"/>
  <c r="I44" i="8"/>
  <c r="I15" i="8"/>
  <c r="I35" i="8"/>
  <c r="I33" i="8"/>
  <c r="I31" i="8"/>
  <c r="I9" i="8"/>
  <c r="V9" i="8"/>
  <c r="J7" i="8"/>
  <c r="W7" i="8"/>
  <c r="I20" i="8"/>
  <c r="I8" i="8"/>
  <c r="I36" i="8"/>
  <c r="I34" i="8"/>
  <c r="I32" i="8"/>
  <c r="I10" i="8"/>
  <c r="V10" i="8"/>
  <c r="I11" i="8"/>
  <c r="V11" i="8"/>
  <c r="I16" i="8"/>
  <c r="V16" i="8"/>
  <c r="J21" i="8"/>
  <c r="I22" i="8"/>
  <c r="G22" i="5"/>
  <c r="G8" i="42"/>
  <c r="G18" i="42"/>
  <c r="H18" i="5"/>
  <c r="I13" i="6"/>
  <c r="I11" i="6"/>
  <c r="I9" i="6"/>
  <c r="I7" i="6"/>
  <c r="I12" i="6"/>
  <c r="I10" i="6"/>
  <c r="I8" i="6"/>
  <c r="J3" i="6"/>
  <c r="I19" i="6"/>
  <c r="G20" i="42"/>
  <c r="I9" i="5"/>
  <c r="I11" i="5"/>
  <c r="I24" i="5"/>
  <c r="I12" i="5"/>
  <c r="I10" i="5"/>
  <c r="H10" i="42"/>
  <c r="H20" i="42"/>
  <c r="I8" i="5"/>
  <c r="I7" i="5"/>
  <c r="G12" i="42"/>
  <c r="G22" i="42"/>
  <c r="H21" i="5"/>
  <c r="H27" i="7"/>
  <c r="H10" i="7"/>
  <c r="H13" i="7"/>
  <c r="H16" i="7"/>
  <c r="H8" i="7"/>
  <c r="U8" i="7"/>
  <c r="H19" i="7"/>
  <c r="H7" i="7"/>
  <c r="H11" i="7"/>
  <c r="H9" i="7"/>
  <c r="U9" i="7"/>
  <c r="F14" i="8"/>
  <c r="F23" i="8"/>
  <c r="E10" i="14"/>
  <c r="E12" i="14"/>
  <c r="G9" i="42"/>
  <c r="H19" i="5"/>
  <c r="C18" i="44"/>
  <c r="C21" i="44"/>
  <c r="C18" i="21"/>
  <c r="D38" i="43"/>
  <c r="E90" i="44"/>
  <c r="C89" i="44"/>
  <c r="E26" i="16"/>
  <c r="F26" i="16"/>
  <c r="AC10" i="7"/>
  <c r="AE10" i="7"/>
  <c r="AF10" i="7"/>
  <c r="AG10" i="7"/>
  <c r="AH10" i="7"/>
  <c r="AI10" i="7"/>
  <c r="AJ10" i="7"/>
  <c r="AK10" i="7"/>
  <c r="AL10" i="7"/>
  <c r="AM10" i="7"/>
  <c r="AG7" i="5"/>
  <c r="AE17" i="42"/>
  <c r="C12" i="15"/>
  <c r="AE10" i="14"/>
  <c r="AD17" i="15"/>
  <c r="AF17" i="5"/>
  <c r="AF22" i="5"/>
  <c r="E32" i="16"/>
  <c r="F32" i="16"/>
  <c r="E33" i="16"/>
  <c r="F33" i="16"/>
  <c r="E25" i="16"/>
  <c r="F25" i="16"/>
  <c r="C55" i="16"/>
  <c r="D55" i="16"/>
  <c r="E55" i="16"/>
  <c r="F55" i="16"/>
  <c r="E24" i="16"/>
  <c r="F24" i="16"/>
  <c r="E31" i="16"/>
  <c r="F31" i="16"/>
  <c r="E22" i="16"/>
  <c r="F22" i="16"/>
  <c r="F31" i="23"/>
  <c r="C46" i="15"/>
  <c r="C8" i="23"/>
  <c r="B11" i="24"/>
  <c r="C15" i="21"/>
  <c r="O12" i="15"/>
  <c r="AC12" i="15"/>
  <c r="I7" i="15"/>
  <c r="H57" i="15"/>
  <c r="H59" i="15"/>
  <c r="G60" i="15"/>
  <c r="AI14" i="16"/>
  <c r="AH15" i="16"/>
  <c r="AH14" i="16"/>
  <c r="AI15" i="16"/>
  <c r="S15" i="6"/>
  <c r="S16" i="6"/>
  <c r="R31" i="21"/>
  <c r="D21" i="14"/>
  <c r="C45" i="15"/>
  <c r="B12" i="24"/>
  <c r="C8" i="24"/>
  <c r="D14" i="15"/>
  <c r="I68" i="16"/>
  <c r="I70" i="16"/>
  <c r="J7" i="16"/>
  <c r="I47" i="8"/>
  <c r="I49" i="8"/>
  <c r="J3" i="8"/>
  <c r="F30" i="24"/>
  <c r="F31" i="24"/>
  <c r="G3" i="24"/>
  <c r="H39" i="7"/>
  <c r="H41" i="7"/>
  <c r="I3" i="7"/>
  <c r="AE24" i="8"/>
  <c r="AD79" i="16"/>
  <c r="G71" i="16"/>
  <c r="I16" i="42"/>
  <c r="H3" i="23"/>
  <c r="G30" i="23"/>
  <c r="J3" i="5"/>
  <c r="H38" i="8"/>
  <c r="H39" i="8"/>
  <c r="F32" i="21"/>
  <c r="F33" i="21"/>
  <c r="I52" i="8"/>
  <c r="Q33" i="21"/>
  <c r="AI31" i="8"/>
  <c r="AH52" i="8"/>
  <c r="AH37" i="8"/>
  <c r="R32" i="21"/>
  <c r="I28" i="6"/>
  <c r="H15" i="6"/>
  <c r="H16" i="6"/>
  <c r="H29" i="6"/>
  <c r="G31" i="21"/>
  <c r="I37" i="8"/>
  <c r="I53" i="8"/>
  <c r="G14" i="8"/>
  <c r="G23" i="8"/>
  <c r="J12" i="6"/>
  <c r="J10" i="6"/>
  <c r="J8" i="6"/>
  <c r="J11" i="6"/>
  <c r="J13" i="6"/>
  <c r="J7" i="6"/>
  <c r="J9" i="6"/>
  <c r="K3" i="6"/>
  <c r="J19" i="6"/>
  <c r="H11" i="42"/>
  <c r="I20" i="5"/>
  <c r="H7" i="42"/>
  <c r="H17" i="42"/>
  <c r="I17" i="5"/>
  <c r="H14" i="8"/>
  <c r="H23" i="8"/>
  <c r="G10" i="14"/>
  <c r="G17" i="42"/>
  <c r="J11" i="5"/>
  <c r="J9" i="5"/>
  <c r="J7" i="5"/>
  <c r="J12" i="5"/>
  <c r="J10" i="5"/>
  <c r="I10" i="42"/>
  <c r="I20" i="42"/>
  <c r="J8" i="5"/>
  <c r="J24" i="5"/>
  <c r="I27" i="7"/>
  <c r="I19" i="7"/>
  <c r="I13" i="7"/>
  <c r="I10" i="7"/>
  <c r="I16" i="7"/>
  <c r="I8" i="7"/>
  <c r="V8" i="7"/>
  <c r="I7" i="7"/>
  <c r="I9" i="7"/>
  <c r="V9" i="7"/>
  <c r="I11" i="7"/>
  <c r="V11" i="7"/>
  <c r="H9" i="42"/>
  <c r="H19" i="42"/>
  <c r="I19" i="5"/>
  <c r="H22" i="5"/>
  <c r="J44" i="8"/>
  <c r="J15" i="8"/>
  <c r="J35" i="8"/>
  <c r="J33" i="8"/>
  <c r="J31" i="8"/>
  <c r="J9" i="8"/>
  <c r="W9" i="8"/>
  <c r="K7" i="8"/>
  <c r="X7" i="8"/>
  <c r="J8" i="8"/>
  <c r="J20" i="8"/>
  <c r="J36" i="8"/>
  <c r="J34" i="8"/>
  <c r="J32" i="8"/>
  <c r="K21" i="8"/>
  <c r="X21" i="8"/>
  <c r="J22" i="8"/>
  <c r="J10" i="8"/>
  <c r="W10" i="8"/>
  <c r="J11" i="8"/>
  <c r="W11" i="8"/>
  <c r="J16" i="8"/>
  <c r="W16" i="8"/>
  <c r="H8" i="42"/>
  <c r="I18" i="5"/>
  <c r="I14" i="6"/>
  <c r="G19" i="42"/>
  <c r="H12" i="42"/>
  <c r="I21" i="5"/>
  <c r="H26" i="42"/>
  <c r="I3" i="42"/>
  <c r="E91" i="44"/>
  <c r="C90" i="44"/>
  <c r="AH7" i="5"/>
  <c r="AF17" i="42"/>
  <c r="AF10" i="14"/>
  <c r="AE17" i="15"/>
  <c r="AG17" i="5"/>
  <c r="AG22" i="5"/>
  <c r="C59" i="16"/>
  <c r="C20" i="21"/>
  <c r="C43" i="24"/>
  <c r="C9" i="24"/>
  <c r="D15" i="15"/>
  <c r="C9" i="23"/>
  <c r="G31" i="23"/>
  <c r="G22" i="16"/>
  <c r="C10" i="23"/>
  <c r="C41" i="23"/>
  <c r="C43" i="23"/>
  <c r="C10" i="24"/>
  <c r="C41" i="24"/>
  <c r="T23" i="42"/>
  <c r="J7" i="15"/>
  <c r="I57" i="15"/>
  <c r="I59" i="15"/>
  <c r="H60" i="15"/>
  <c r="AK15" i="16"/>
  <c r="AJ15" i="16"/>
  <c r="AJ14" i="16"/>
  <c r="AK14" i="16"/>
  <c r="T15" i="6"/>
  <c r="T16" i="6"/>
  <c r="S31" i="21"/>
  <c r="X23" i="42"/>
  <c r="J68" i="16"/>
  <c r="J70" i="16"/>
  <c r="K7" i="16"/>
  <c r="I39" i="7"/>
  <c r="I41" i="7"/>
  <c r="J3" i="7"/>
  <c r="G30" i="24"/>
  <c r="G31" i="24"/>
  <c r="H3" i="24"/>
  <c r="J47" i="8"/>
  <c r="J49" i="8"/>
  <c r="K3" i="8"/>
  <c r="G32" i="16"/>
  <c r="H71" i="16"/>
  <c r="G25" i="16"/>
  <c r="G31" i="16"/>
  <c r="G33" i="16"/>
  <c r="G24" i="16"/>
  <c r="G26" i="16"/>
  <c r="K3" i="5"/>
  <c r="I3" i="23"/>
  <c r="H30" i="23"/>
  <c r="J16" i="42"/>
  <c r="Q23" i="42"/>
  <c r="D23" i="42"/>
  <c r="AA23" i="42"/>
  <c r="Z23" i="42"/>
  <c r="Y23" i="42"/>
  <c r="S23" i="42"/>
  <c r="F23" i="42"/>
  <c r="R23" i="42"/>
  <c r="E23" i="42"/>
  <c r="G23" i="42"/>
  <c r="S32" i="21"/>
  <c r="S36" i="21"/>
  <c r="R36" i="21"/>
  <c r="J52" i="8"/>
  <c r="G32" i="21"/>
  <c r="G36" i="21"/>
  <c r="R33" i="21"/>
  <c r="AJ31" i="8"/>
  <c r="AI52" i="8"/>
  <c r="AI37" i="8"/>
  <c r="F36" i="21"/>
  <c r="J28" i="6"/>
  <c r="I15" i="6"/>
  <c r="I16" i="6"/>
  <c r="H14" i="14"/>
  <c r="I29" i="6"/>
  <c r="H31" i="21"/>
  <c r="I38" i="8"/>
  <c r="I39" i="8"/>
  <c r="J37" i="8"/>
  <c r="J53" i="8"/>
  <c r="I12" i="42"/>
  <c r="I22" i="42"/>
  <c r="J21" i="5"/>
  <c r="K12" i="6"/>
  <c r="K10" i="6"/>
  <c r="K8" i="6"/>
  <c r="K13" i="6"/>
  <c r="K11" i="6"/>
  <c r="K9" i="6"/>
  <c r="K7" i="6"/>
  <c r="L3" i="6"/>
  <c r="K19" i="6"/>
  <c r="I14" i="8"/>
  <c r="I23" i="8"/>
  <c r="H10" i="14"/>
  <c r="I7" i="42"/>
  <c r="I17" i="42"/>
  <c r="J17" i="5"/>
  <c r="J27" i="7"/>
  <c r="J13" i="7"/>
  <c r="J19" i="7"/>
  <c r="J16" i="7"/>
  <c r="J8" i="7"/>
  <c r="W8" i="7"/>
  <c r="J10" i="7"/>
  <c r="J7" i="7"/>
  <c r="J9" i="7"/>
  <c r="W9" i="7"/>
  <c r="J11" i="7"/>
  <c r="W11" i="7"/>
  <c r="I9" i="42"/>
  <c r="I19" i="42"/>
  <c r="J19" i="5"/>
  <c r="J14" i="6"/>
  <c r="I11" i="42"/>
  <c r="I21" i="42"/>
  <c r="J20" i="5"/>
  <c r="I22" i="5"/>
  <c r="H22" i="42"/>
  <c r="K7" i="5"/>
  <c r="K9" i="5"/>
  <c r="K12" i="5"/>
  <c r="K10" i="5"/>
  <c r="J10" i="42"/>
  <c r="J20" i="42"/>
  <c r="K8" i="5"/>
  <c r="K11" i="5"/>
  <c r="K24" i="5"/>
  <c r="I26" i="42"/>
  <c r="J3" i="42"/>
  <c r="H18" i="42"/>
  <c r="K44" i="8"/>
  <c r="K15" i="8"/>
  <c r="K35" i="8"/>
  <c r="K33" i="8"/>
  <c r="K31" i="8"/>
  <c r="K9" i="8"/>
  <c r="X9" i="8"/>
  <c r="L7" i="8"/>
  <c r="Y7" i="8"/>
  <c r="K36" i="8"/>
  <c r="K34" i="8"/>
  <c r="K32" i="8"/>
  <c r="K20" i="8"/>
  <c r="K8" i="8"/>
  <c r="K16" i="8"/>
  <c r="X16" i="8"/>
  <c r="K10" i="8"/>
  <c r="X10" i="8"/>
  <c r="L21" i="8"/>
  <c r="Y21" i="8"/>
  <c r="K22" i="8"/>
  <c r="K11" i="8"/>
  <c r="X11" i="8"/>
  <c r="I8" i="42"/>
  <c r="I18" i="42"/>
  <c r="J18" i="5"/>
  <c r="H21" i="42"/>
  <c r="E92" i="44"/>
  <c r="C91" i="44"/>
  <c r="AI7" i="5"/>
  <c r="AG17" i="42"/>
  <c r="AG10" i="14"/>
  <c r="AF17" i="15"/>
  <c r="AH17" i="5"/>
  <c r="AH22" i="5"/>
  <c r="C61" i="16"/>
  <c r="H31" i="23"/>
  <c r="H22" i="16"/>
  <c r="C12" i="23"/>
  <c r="D8" i="23"/>
  <c r="C11" i="23"/>
  <c r="D46" i="15"/>
  <c r="C11" i="24"/>
  <c r="U23" i="42"/>
  <c r="K7" i="15"/>
  <c r="J57" i="15"/>
  <c r="J59" i="15"/>
  <c r="I60" i="15"/>
  <c r="AL15" i="16"/>
  <c r="AM14" i="16"/>
  <c r="AL14" i="16"/>
  <c r="AM15" i="16"/>
  <c r="U15" i="6"/>
  <c r="U16" i="6"/>
  <c r="S34" i="15"/>
  <c r="T31" i="21"/>
  <c r="AH44" i="8"/>
  <c r="F13" i="21"/>
  <c r="F35" i="21"/>
  <c r="E21" i="14"/>
  <c r="D45" i="15"/>
  <c r="C12" i="24"/>
  <c r="D8" i="24"/>
  <c r="E14" i="15"/>
  <c r="J39" i="7"/>
  <c r="J41" i="7"/>
  <c r="K3" i="7"/>
  <c r="H30" i="24"/>
  <c r="H31" i="24"/>
  <c r="I3" i="24"/>
  <c r="K47" i="8"/>
  <c r="K49" i="8"/>
  <c r="L3" i="8"/>
  <c r="K68" i="16"/>
  <c r="K70" i="16"/>
  <c r="L7" i="16"/>
  <c r="AD12" i="8"/>
  <c r="AF12" i="8"/>
  <c r="AG12" i="8"/>
  <c r="AH12" i="8"/>
  <c r="AI12" i="8"/>
  <c r="AJ12" i="8"/>
  <c r="AK12" i="8"/>
  <c r="AL12" i="8"/>
  <c r="AM12" i="8"/>
  <c r="AN12" i="8"/>
  <c r="H24" i="16"/>
  <c r="H26" i="16"/>
  <c r="H32" i="16"/>
  <c r="I71" i="16"/>
  <c r="H25" i="16"/>
  <c r="H31" i="16"/>
  <c r="H33" i="16"/>
  <c r="K16" i="42"/>
  <c r="L3" i="5"/>
  <c r="J3" i="23"/>
  <c r="I30" i="23"/>
  <c r="C23" i="42"/>
  <c r="E34" i="15"/>
  <c r="F14" i="14"/>
  <c r="R34" i="15"/>
  <c r="S14" i="14"/>
  <c r="F34" i="15"/>
  <c r="G14" i="14"/>
  <c r="D34" i="15"/>
  <c r="E14" i="14"/>
  <c r="E15" i="14"/>
  <c r="Q34" i="15"/>
  <c r="R14" i="14"/>
  <c r="AD13" i="8"/>
  <c r="AF13" i="8"/>
  <c r="AG13" i="8"/>
  <c r="AH13" i="8"/>
  <c r="AI13" i="8"/>
  <c r="AJ13" i="8"/>
  <c r="AK13" i="8"/>
  <c r="AL13" i="8"/>
  <c r="AM13" i="8"/>
  <c r="AN13" i="8"/>
  <c r="Q13" i="8"/>
  <c r="AE13" i="8"/>
  <c r="D13" i="21"/>
  <c r="D35" i="21"/>
  <c r="E13" i="21"/>
  <c r="E35" i="21"/>
  <c r="G33" i="21"/>
  <c r="S33" i="21"/>
  <c r="K37" i="8"/>
  <c r="K53" i="8"/>
  <c r="G34" i="15"/>
  <c r="K52" i="8"/>
  <c r="K28" i="6"/>
  <c r="T32" i="21"/>
  <c r="T36" i="21"/>
  <c r="H32" i="21"/>
  <c r="H33" i="21"/>
  <c r="AK31" i="8"/>
  <c r="AJ52" i="8"/>
  <c r="AJ37" i="8"/>
  <c r="J15" i="6"/>
  <c r="J16" i="6"/>
  <c r="J29" i="6"/>
  <c r="I31" i="21"/>
  <c r="J38" i="8"/>
  <c r="J39" i="8"/>
  <c r="J26" i="42"/>
  <c r="K3" i="42"/>
  <c r="J7" i="42"/>
  <c r="K17" i="5"/>
  <c r="J22" i="5"/>
  <c r="I23" i="42"/>
  <c r="L44" i="8"/>
  <c r="L35" i="8"/>
  <c r="L33" i="8"/>
  <c r="L31" i="8"/>
  <c r="L9" i="8"/>
  <c r="Y9" i="8"/>
  <c r="M7" i="8"/>
  <c r="Z7" i="8"/>
  <c r="L36" i="8"/>
  <c r="L34" i="8"/>
  <c r="L32" i="8"/>
  <c r="L20" i="8"/>
  <c r="L8" i="8"/>
  <c r="L15" i="8"/>
  <c r="L22" i="8"/>
  <c r="L11" i="8"/>
  <c r="Y11" i="8"/>
  <c r="M21" i="8"/>
  <c r="Z21" i="8"/>
  <c r="L16" i="8"/>
  <c r="Y16" i="8"/>
  <c r="L10" i="8"/>
  <c r="Y10" i="8"/>
  <c r="L12" i="5"/>
  <c r="L10" i="5"/>
  <c r="K10" i="42"/>
  <c r="K20" i="42"/>
  <c r="L8" i="5"/>
  <c r="L24" i="5"/>
  <c r="L11" i="5"/>
  <c r="L9" i="5"/>
  <c r="L7" i="5"/>
  <c r="J11" i="42"/>
  <c r="K20" i="5"/>
  <c r="J8" i="42"/>
  <c r="K18" i="5"/>
  <c r="J14" i="8"/>
  <c r="J23" i="8"/>
  <c r="I10" i="14"/>
  <c r="K27" i="7"/>
  <c r="K16" i="7"/>
  <c r="K8" i="7"/>
  <c r="X8" i="7"/>
  <c r="K13" i="7"/>
  <c r="K19" i="7"/>
  <c r="K10" i="7"/>
  <c r="K7" i="7"/>
  <c r="K11" i="7"/>
  <c r="X11" i="7"/>
  <c r="K9" i="7"/>
  <c r="X9" i="7"/>
  <c r="H23" i="42"/>
  <c r="J12" i="42"/>
  <c r="K21" i="5"/>
  <c r="L12" i="6"/>
  <c r="L10" i="6"/>
  <c r="L8" i="6"/>
  <c r="L13" i="6"/>
  <c r="L11" i="6"/>
  <c r="L9" i="6"/>
  <c r="L7" i="6"/>
  <c r="L19" i="6"/>
  <c r="M3" i="6"/>
  <c r="J9" i="42"/>
  <c r="J19" i="42"/>
  <c r="K19" i="5"/>
  <c r="K14" i="6"/>
  <c r="C19" i="44"/>
  <c r="D39" i="43"/>
  <c r="D40" i="43"/>
  <c r="E93" i="44"/>
  <c r="C92" i="44"/>
  <c r="AJ7" i="5"/>
  <c r="AH17" i="42"/>
  <c r="AH10" i="14"/>
  <c r="AG17" i="15"/>
  <c r="AI17" i="5"/>
  <c r="AI22" i="5"/>
  <c r="AH17" i="15"/>
  <c r="C63" i="16"/>
  <c r="C20" i="44"/>
  <c r="I22" i="16"/>
  <c r="I31" i="23"/>
  <c r="D43" i="23"/>
  <c r="D9" i="23"/>
  <c r="D43" i="24"/>
  <c r="D9" i="24"/>
  <c r="D10" i="23"/>
  <c r="D41" i="23"/>
  <c r="E15" i="15"/>
  <c r="D10" i="24"/>
  <c r="D41" i="24"/>
  <c r="F15" i="14"/>
  <c r="K57" i="15"/>
  <c r="K59" i="15"/>
  <c r="J60" i="15"/>
  <c r="L7" i="15"/>
  <c r="V15" i="6"/>
  <c r="V16" i="6"/>
  <c r="T14" i="14"/>
  <c r="AI44" i="8"/>
  <c r="I30" i="24"/>
  <c r="I31" i="24"/>
  <c r="J3" i="24"/>
  <c r="K39" i="7"/>
  <c r="K41" i="7"/>
  <c r="L3" i="7"/>
  <c r="L68" i="16"/>
  <c r="L70" i="16"/>
  <c r="M7" i="16"/>
  <c r="L47" i="8"/>
  <c r="L49" i="8"/>
  <c r="M3" i="8"/>
  <c r="I31" i="16"/>
  <c r="I33" i="16"/>
  <c r="I24" i="16"/>
  <c r="I26" i="16"/>
  <c r="I32" i="16"/>
  <c r="J71" i="16"/>
  <c r="I25" i="16"/>
  <c r="K3" i="23"/>
  <c r="J30" i="23"/>
  <c r="M3" i="5"/>
  <c r="L16" i="42"/>
  <c r="P23" i="42"/>
  <c r="Q14" i="14"/>
  <c r="C34" i="15"/>
  <c r="D14" i="14"/>
  <c r="D15" i="14"/>
  <c r="K38" i="8"/>
  <c r="I14" i="14"/>
  <c r="T33" i="21"/>
  <c r="I32" i="21"/>
  <c r="I36" i="21"/>
  <c r="H36" i="21"/>
  <c r="L52" i="8"/>
  <c r="AL31" i="8"/>
  <c r="AK52" i="8"/>
  <c r="AK37" i="8"/>
  <c r="L28" i="6"/>
  <c r="K15" i="6"/>
  <c r="K16" i="6"/>
  <c r="K29" i="6"/>
  <c r="J31" i="21"/>
  <c r="L37" i="8"/>
  <c r="L53" i="8"/>
  <c r="J14" i="14"/>
  <c r="H34" i="15"/>
  <c r="K39" i="8"/>
  <c r="J18" i="42"/>
  <c r="K11" i="42"/>
  <c r="K21" i="42"/>
  <c r="L20" i="5"/>
  <c r="M12" i="6"/>
  <c r="M10" i="6"/>
  <c r="M8" i="6"/>
  <c r="M13" i="6"/>
  <c r="M11" i="6"/>
  <c r="M9" i="6"/>
  <c r="M7" i="6"/>
  <c r="M19" i="6"/>
  <c r="N3" i="6"/>
  <c r="K8" i="42"/>
  <c r="K18" i="42"/>
  <c r="L18" i="5"/>
  <c r="K14" i="8"/>
  <c r="K23" i="8"/>
  <c r="J10" i="14"/>
  <c r="L14" i="6"/>
  <c r="L29" i="6"/>
  <c r="K22" i="5"/>
  <c r="J22" i="42"/>
  <c r="K12" i="42"/>
  <c r="K22" i="42"/>
  <c r="L21" i="5"/>
  <c r="J17" i="42"/>
  <c r="L27" i="7"/>
  <c r="L7" i="7"/>
  <c r="L16" i="7"/>
  <c r="L19" i="7"/>
  <c r="L13" i="7"/>
  <c r="L8" i="7"/>
  <c r="Y8" i="7"/>
  <c r="L10" i="7"/>
  <c r="L11" i="7"/>
  <c r="Y11" i="7"/>
  <c r="L9" i="7"/>
  <c r="Y9" i="7"/>
  <c r="J21" i="42"/>
  <c r="K26" i="42"/>
  <c r="L3" i="42"/>
  <c r="K7" i="42"/>
  <c r="K17" i="42"/>
  <c r="L17" i="5"/>
  <c r="M24" i="5"/>
  <c r="M12" i="5"/>
  <c r="M10" i="5"/>
  <c r="L10" i="42"/>
  <c r="L20" i="42"/>
  <c r="M8" i="5"/>
  <c r="M11" i="5"/>
  <c r="M9" i="5"/>
  <c r="M7" i="5"/>
  <c r="M44" i="8"/>
  <c r="M36" i="8"/>
  <c r="M34" i="8"/>
  <c r="M32" i="8"/>
  <c r="M20" i="8"/>
  <c r="M8" i="8"/>
  <c r="M15" i="8"/>
  <c r="M9" i="8"/>
  <c r="Z9" i="8"/>
  <c r="N7" i="8"/>
  <c r="AA7" i="8"/>
  <c r="M35" i="8"/>
  <c r="M33" i="8"/>
  <c r="M31" i="8"/>
  <c r="M16" i="8"/>
  <c r="Z16" i="8"/>
  <c r="M10" i="8"/>
  <c r="Z10" i="8"/>
  <c r="N21" i="8"/>
  <c r="AA21" i="8"/>
  <c r="M22" i="8"/>
  <c r="M11" i="8"/>
  <c r="Z11" i="8"/>
  <c r="K9" i="42"/>
  <c r="K19" i="42"/>
  <c r="L19" i="5"/>
  <c r="E94" i="44"/>
  <c r="C93" i="44"/>
  <c r="AK7" i="5"/>
  <c r="AI17" i="42"/>
  <c r="C64" i="16"/>
  <c r="AI10" i="14"/>
  <c r="AJ17" i="5"/>
  <c r="AJ22" i="5"/>
  <c r="C65" i="16"/>
  <c r="J22" i="16"/>
  <c r="J31" i="23"/>
  <c r="R17" i="15"/>
  <c r="S12" i="14"/>
  <c r="D11" i="23"/>
  <c r="D12" i="23"/>
  <c r="E8" i="23"/>
  <c r="V23" i="42"/>
  <c r="E46" i="15"/>
  <c r="D12" i="24"/>
  <c r="E8" i="24"/>
  <c r="D11" i="24"/>
  <c r="W23" i="42"/>
  <c r="M7" i="15"/>
  <c r="L57" i="15"/>
  <c r="L59" i="15"/>
  <c r="K60" i="15"/>
  <c r="U14" i="14"/>
  <c r="T34" i="15"/>
  <c r="V31" i="21"/>
  <c r="AJ44" i="8"/>
  <c r="I34" i="15"/>
  <c r="L15" i="6"/>
  <c r="L16" i="6"/>
  <c r="M47" i="8"/>
  <c r="M49" i="8"/>
  <c r="N3" i="8"/>
  <c r="L39" i="7"/>
  <c r="L41" i="7"/>
  <c r="M3" i="7"/>
  <c r="M68" i="16"/>
  <c r="M70" i="16"/>
  <c r="N7" i="16"/>
  <c r="J30" i="24"/>
  <c r="J31" i="24"/>
  <c r="K3" i="24"/>
  <c r="K71" i="16"/>
  <c r="L71" i="16"/>
  <c r="J25" i="16"/>
  <c r="J31" i="16"/>
  <c r="J33" i="16"/>
  <c r="J24" i="16"/>
  <c r="J26" i="16"/>
  <c r="J32" i="16"/>
  <c r="M16" i="42"/>
  <c r="N3" i="5"/>
  <c r="L3" i="23"/>
  <c r="K30" i="23"/>
  <c r="P34" i="15"/>
  <c r="F21" i="14"/>
  <c r="M28" i="6"/>
  <c r="AM31" i="8"/>
  <c r="AL52" i="8"/>
  <c r="AL37" i="8"/>
  <c r="AL44" i="8"/>
  <c r="I33" i="21"/>
  <c r="V32" i="21"/>
  <c r="V36" i="21"/>
  <c r="J32" i="21"/>
  <c r="J36" i="21"/>
  <c r="M52" i="8"/>
  <c r="K31" i="21"/>
  <c r="L38" i="8"/>
  <c r="L39" i="8"/>
  <c r="M37" i="8"/>
  <c r="M53" i="8"/>
  <c r="L9" i="42"/>
  <c r="L19" i="42"/>
  <c r="M19" i="5"/>
  <c r="K23" i="42"/>
  <c r="J23" i="42"/>
  <c r="K14" i="14"/>
  <c r="N10" i="6"/>
  <c r="N13" i="6"/>
  <c r="N11" i="6"/>
  <c r="N9" i="6"/>
  <c r="N7" i="6"/>
  <c r="N8" i="6"/>
  <c r="N12" i="6"/>
  <c r="O3" i="6"/>
  <c r="N19" i="6"/>
  <c r="L11" i="42"/>
  <c r="M20" i="5"/>
  <c r="L26" i="42"/>
  <c r="M3" i="42"/>
  <c r="L8" i="42"/>
  <c r="M18" i="5"/>
  <c r="M14" i="6"/>
  <c r="N44" i="8"/>
  <c r="N36" i="8"/>
  <c r="N34" i="8"/>
  <c r="N32" i="8"/>
  <c r="N20" i="8"/>
  <c r="N8" i="8"/>
  <c r="N15" i="8"/>
  <c r="N9" i="8"/>
  <c r="AA9" i="8"/>
  <c r="O7" i="8"/>
  <c r="AB7" i="8"/>
  <c r="N35" i="8"/>
  <c r="N33" i="8"/>
  <c r="N31" i="8"/>
  <c r="N10" i="8"/>
  <c r="AA10" i="8"/>
  <c r="N22" i="8"/>
  <c r="N16" i="8"/>
  <c r="AA16" i="8"/>
  <c r="N11" i="8"/>
  <c r="AA11" i="8"/>
  <c r="O21" i="8"/>
  <c r="AB21" i="8"/>
  <c r="L12" i="42"/>
  <c r="L22" i="42"/>
  <c r="M21" i="5"/>
  <c r="M27" i="7"/>
  <c r="M7" i="7"/>
  <c r="M16" i="7"/>
  <c r="M8" i="7"/>
  <c r="Z8" i="7"/>
  <c r="M19" i="7"/>
  <c r="M13" i="7"/>
  <c r="M10" i="7"/>
  <c r="M9" i="7"/>
  <c r="Z9" i="7"/>
  <c r="M11" i="7"/>
  <c r="Z11" i="7"/>
  <c r="N12" i="5"/>
  <c r="N10" i="5"/>
  <c r="M10" i="42"/>
  <c r="M20" i="42"/>
  <c r="N8" i="5"/>
  <c r="N24" i="5"/>
  <c r="N11" i="5"/>
  <c r="N9" i="5"/>
  <c r="N7" i="5"/>
  <c r="L7" i="42"/>
  <c r="L17" i="42"/>
  <c r="M17" i="5"/>
  <c r="L22" i="5"/>
  <c r="L14" i="8"/>
  <c r="L23" i="8"/>
  <c r="K10" i="14"/>
  <c r="E95" i="44"/>
  <c r="C94" i="44"/>
  <c r="AL7" i="5"/>
  <c r="AJ17" i="42"/>
  <c r="AJ10" i="14"/>
  <c r="AI17" i="15"/>
  <c r="AK17" i="5"/>
  <c r="AK22" i="5"/>
  <c r="K31" i="23"/>
  <c r="S17" i="15"/>
  <c r="T12" i="14"/>
  <c r="E9" i="24"/>
  <c r="F14" i="15"/>
  <c r="E10" i="23"/>
  <c r="E41" i="23"/>
  <c r="E9" i="23"/>
  <c r="E10" i="24"/>
  <c r="E41" i="24"/>
  <c r="AB17" i="42"/>
  <c r="K22" i="16"/>
  <c r="L22" i="16"/>
  <c r="F15" i="15"/>
  <c r="N7" i="15"/>
  <c r="M57" i="15"/>
  <c r="M59" i="15"/>
  <c r="L60" i="15"/>
  <c r="W15" i="6"/>
  <c r="W16" i="6"/>
  <c r="W31" i="21"/>
  <c r="AK44" i="8"/>
  <c r="AE23" i="42"/>
  <c r="K30" i="24"/>
  <c r="K31" i="24"/>
  <c r="L3" i="24"/>
  <c r="N68" i="16"/>
  <c r="N70" i="16"/>
  <c r="O7" i="16"/>
  <c r="N47" i="8"/>
  <c r="N49" i="8"/>
  <c r="O3" i="8"/>
  <c r="M39" i="7"/>
  <c r="M41" i="7"/>
  <c r="N3" i="7"/>
  <c r="K32" i="16"/>
  <c r="K25" i="16"/>
  <c r="K31" i="16"/>
  <c r="L31" i="16"/>
  <c r="K33" i="16"/>
  <c r="K24" i="16"/>
  <c r="K26" i="16"/>
  <c r="N16" i="42"/>
  <c r="M3" i="23"/>
  <c r="L30" i="23"/>
  <c r="O3" i="5"/>
  <c r="E45" i="15"/>
  <c r="J33" i="21"/>
  <c r="M38" i="8"/>
  <c r="M39" i="8"/>
  <c r="N37" i="8"/>
  <c r="N53" i="8"/>
  <c r="J34" i="15"/>
  <c r="K32" i="21"/>
  <c r="K36" i="21"/>
  <c r="N52" i="8"/>
  <c r="V33" i="21"/>
  <c r="W32" i="21"/>
  <c r="W33" i="21"/>
  <c r="N28" i="6"/>
  <c r="AN31" i="8"/>
  <c r="AM52" i="8"/>
  <c r="AM37" i="8"/>
  <c r="M15" i="6"/>
  <c r="M16" i="6"/>
  <c r="K34" i="15"/>
  <c r="M29" i="6"/>
  <c r="L31" i="21"/>
  <c r="M22" i="5"/>
  <c r="N14" i="8"/>
  <c r="N23" i="8"/>
  <c r="L21" i="42"/>
  <c r="M7" i="42"/>
  <c r="M17" i="42"/>
  <c r="N17" i="5"/>
  <c r="L18" i="42"/>
  <c r="N27" i="7"/>
  <c r="N7" i="7"/>
  <c r="N10" i="7"/>
  <c r="N13" i="7"/>
  <c r="N19" i="7"/>
  <c r="N16" i="7"/>
  <c r="N8" i="7"/>
  <c r="AA8" i="7"/>
  <c r="N11" i="7"/>
  <c r="AA11" i="7"/>
  <c r="N9" i="7"/>
  <c r="AA9" i="7"/>
  <c r="M9" i="42"/>
  <c r="M19" i="42"/>
  <c r="N19" i="5"/>
  <c r="O13" i="6"/>
  <c r="O11" i="6"/>
  <c r="O9" i="6"/>
  <c r="O7" i="6"/>
  <c r="O12" i="6"/>
  <c r="O10" i="6"/>
  <c r="O8" i="6"/>
  <c r="P3" i="6"/>
  <c r="O19" i="6"/>
  <c r="M14" i="8"/>
  <c r="M23" i="8"/>
  <c r="L10" i="14"/>
  <c r="M11" i="42"/>
  <c r="M21" i="42"/>
  <c r="N20" i="5"/>
  <c r="O12" i="5"/>
  <c r="O10" i="5"/>
  <c r="N10" i="42"/>
  <c r="O24" i="5"/>
  <c r="O11" i="5"/>
  <c r="O9" i="5"/>
  <c r="O7" i="5"/>
  <c r="O8" i="5"/>
  <c r="O44" i="8"/>
  <c r="O36" i="8"/>
  <c r="O34" i="8"/>
  <c r="O32" i="8"/>
  <c r="O20" i="8"/>
  <c r="O8" i="8"/>
  <c r="O15" i="8"/>
  <c r="O35" i="8"/>
  <c r="O33" i="8"/>
  <c r="O31" i="8"/>
  <c r="O9" i="8"/>
  <c r="P7" i="8"/>
  <c r="O11" i="8"/>
  <c r="O16" i="8"/>
  <c r="AB16" i="8"/>
  <c r="P21" i="8"/>
  <c r="Q21" i="8"/>
  <c r="AE21" i="8"/>
  <c r="O22" i="8"/>
  <c r="O10" i="8"/>
  <c r="M8" i="42"/>
  <c r="M18" i="42"/>
  <c r="N18" i="5"/>
  <c r="M26" i="42"/>
  <c r="N3" i="42"/>
  <c r="N14" i="6"/>
  <c r="M12" i="42"/>
  <c r="M22" i="42"/>
  <c r="N21" i="5"/>
  <c r="E96" i="44"/>
  <c r="C95" i="44"/>
  <c r="AM7" i="5"/>
  <c r="AK10" i="14"/>
  <c r="AJ17" i="15"/>
  <c r="AL17" i="5"/>
  <c r="AL22" i="5"/>
  <c r="L31" i="23"/>
  <c r="AB23" i="42"/>
  <c r="AD23" i="42"/>
  <c r="T17" i="15"/>
  <c r="U12" i="14"/>
  <c r="S13" i="21"/>
  <c r="S35" i="21"/>
  <c r="S15" i="14"/>
  <c r="E12" i="23"/>
  <c r="E43" i="23"/>
  <c r="E11" i="23"/>
  <c r="F46" i="15"/>
  <c r="E11" i="24"/>
  <c r="P7" i="15"/>
  <c r="N57" i="15"/>
  <c r="N59" i="15"/>
  <c r="X31" i="21"/>
  <c r="U34" i="15"/>
  <c r="V14" i="14"/>
  <c r="X15" i="6"/>
  <c r="X16" i="6"/>
  <c r="AF23" i="42"/>
  <c r="N39" i="7"/>
  <c r="N41" i="7"/>
  <c r="O3" i="7"/>
  <c r="O47" i="8"/>
  <c r="O49" i="8"/>
  <c r="P3" i="8"/>
  <c r="L30" i="24"/>
  <c r="L31" i="24"/>
  <c r="M3" i="24"/>
  <c r="O68" i="16"/>
  <c r="O70" i="16"/>
  <c r="Q7" i="16"/>
  <c r="M71" i="16"/>
  <c r="L25" i="16"/>
  <c r="L33" i="16"/>
  <c r="L24" i="16"/>
  <c r="L26" i="16"/>
  <c r="L32" i="16"/>
  <c r="M30" i="23"/>
  <c r="O3" i="23"/>
  <c r="Q3" i="5"/>
  <c r="P16" i="42"/>
  <c r="AD20" i="8"/>
  <c r="AF20" i="8"/>
  <c r="AG20" i="8"/>
  <c r="AH20" i="8"/>
  <c r="AI20" i="8"/>
  <c r="AJ20" i="8"/>
  <c r="AK20" i="8"/>
  <c r="AL20" i="8"/>
  <c r="AM20" i="8"/>
  <c r="AN20" i="8"/>
  <c r="AD19" i="8"/>
  <c r="AF19" i="8"/>
  <c r="AG19" i="8"/>
  <c r="AH19" i="8"/>
  <c r="AI19" i="8"/>
  <c r="AJ19" i="8"/>
  <c r="AK19" i="8"/>
  <c r="AL19" i="8"/>
  <c r="AM19" i="8"/>
  <c r="AN19" i="8"/>
  <c r="Q19" i="8"/>
  <c r="AE19" i="8"/>
  <c r="AD18" i="8"/>
  <c r="AF18" i="8"/>
  <c r="AG18" i="8"/>
  <c r="AH18" i="8"/>
  <c r="AI18" i="8"/>
  <c r="AJ18" i="8"/>
  <c r="AK18" i="8"/>
  <c r="AL18" i="8"/>
  <c r="AM18" i="8"/>
  <c r="AN18" i="8"/>
  <c r="Q18" i="8"/>
  <c r="AE18" i="8"/>
  <c r="AD17" i="8"/>
  <c r="AF17" i="8"/>
  <c r="AG17" i="8"/>
  <c r="AH17" i="8"/>
  <c r="AI17" i="8"/>
  <c r="AJ17" i="8"/>
  <c r="AK17" i="8"/>
  <c r="AL17" i="8"/>
  <c r="AM17" i="8"/>
  <c r="AN17" i="8"/>
  <c r="Q17" i="8"/>
  <c r="AE17" i="8"/>
  <c r="AD15" i="8"/>
  <c r="AF15" i="8"/>
  <c r="AG15" i="8"/>
  <c r="AH15" i="8"/>
  <c r="AI15" i="8"/>
  <c r="AJ15" i="8"/>
  <c r="AK15" i="8"/>
  <c r="AL15" i="8"/>
  <c r="AM15" i="8"/>
  <c r="AN15" i="8"/>
  <c r="E12" i="24"/>
  <c r="M10" i="14"/>
  <c r="L14" i="14"/>
  <c r="O28" i="6"/>
  <c r="L23" i="42"/>
  <c r="N38" i="8"/>
  <c r="N39" i="8"/>
  <c r="L32" i="21"/>
  <c r="L33" i="21"/>
  <c r="AN52" i="8"/>
  <c r="AN37" i="8"/>
  <c r="W36" i="21"/>
  <c r="K33" i="21"/>
  <c r="X32" i="21"/>
  <c r="X36" i="21"/>
  <c r="O52" i="8"/>
  <c r="N15" i="6"/>
  <c r="N16" i="6"/>
  <c r="N29" i="6"/>
  <c r="M31" i="21"/>
  <c r="O37" i="8"/>
  <c r="O53" i="8"/>
  <c r="O27" i="7"/>
  <c r="O7" i="7"/>
  <c r="O10" i="7"/>
  <c r="P10" i="7"/>
  <c r="AD10" i="7"/>
  <c r="O13" i="7"/>
  <c r="P13" i="7"/>
  <c r="AD13" i="7"/>
  <c r="O16" i="7"/>
  <c r="P16" i="7"/>
  <c r="AD16" i="7"/>
  <c r="O8" i="7"/>
  <c r="O19" i="7"/>
  <c r="P19" i="7"/>
  <c r="AD19" i="7"/>
  <c r="O11" i="7"/>
  <c r="O9" i="7"/>
  <c r="R21" i="8"/>
  <c r="AC21" i="8"/>
  <c r="N7" i="42"/>
  <c r="O17" i="5"/>
  <c r="N9" i="42"/>
  <c r="O19" i="5"/>
  <c r="P19" i="5"/>
  <c r="P9" i="5"/>
  <c r="AD9" i="5"/>
  <c r="AD19" i="5"/>
  <c r="AB11" i="8"/>
  <c r="N11" i="42"/>
  <c r="O20" i="5"/>
  <c r="P20" i="5"/>
  <c r="P11" i="5"/>
  <c r="AD11" i="5"/>
  <c r="AD20" i="5"/>
  <c r="P7" i="5"/>
  <c r="AD7" i="5"/>
  <c r="AD17" i="5"/>
  <c r="R7" i="8"/>
  <c r="AC7" i="8"/>
  <c r="Q7" i="8"/>
  <c r="AE7" i="8"/>
  <c r="P13" i="6"/>
  <c r="Q13" i="6"/>
  <c r="AE13" i="6"/>
  <c r="P11" i="6"/>
  <c r="Q11" i="6"/>
  <c r="AE11" i="6"/>
  <c r="P9" i="6"/>
  <c r="Q9" i="6"/>
  <c r="AE9" i="6"/>
  <c r="P7" i="6"/>
  <c r="P12" i="6"/>
  <c r="P10" i="6"/>
  <c r="Q10" i="6"/>
  <c r="AE10" i="6"/>
  <c r="P8" i="6"/>
  <c r="Q8" i="6"/>
  <c r="AE8" i="6"/>
  <c r="R3" i="6"/>
  <c r="P19" i="6"/>
  <c r="N22" i="5"/>
  <c r="N26" i="42"/>
  <c r="P3" i="42"/>
  <c r="AB9" i="8"/>
  <c r="N20" i="42"/>
  <c r="O20" i="42"/>
  <c r="O10" i="42"/>
  <c r="AC10" i="42"/>
  <c r="AC20" i="42"/>
  <c r="M23" i="42"/>
  <c r="N12" i="42"/>
  <c r="O21" i="5"/>
  <c r="P21" i="5"/>
  <c r="P12" i="5"/>
  <c r="AD12" i="5"/>
  <c r="AD21" i="5"/>
  <c r="P44" i="8"/>
  <c r="P36" i="8"/>
  <c r="Q36" i="8"/>
  <c r="AE36" i="8"/>
  <c r="P34" i="8"/>
  <c r="Q34" i="8"/>
  <c r="AE34" i="8"/>
  <c r="P32" i="8"/>
  <c r="Q32" i="8"/>
  <c r="AE32" i="8"/>
  <c r="P20" i="8"/>
  <c r="Q20" i="8"/>
  <c r="AE20" i="8"/>
  <c r="P8" i="8"/>
  <c r="Q8" i="8"/>
  <c r="AE8" i="8"/>
  <c r="P15" i="8"/>
  <c r="Q15" i="8"/>
  <c r="AE15" i="8"/>
  <c r="P35" i="8"/>
  <c r="P33" i="8"/>
  <c r="Q33" i="8"/>
  <c r="AE33" i="8"/>
  <c r="P31" i="8"/>
  <c r="P9" i="8"/>
  <c r="P22" i="8"/>
  <c r="Q22" i="8"/>
  <c r="AE22" i="8"/>
  <c r="P11" i="8"/>
  <c r="P16" i="8"/>
  <c r="P10" i="8"/>
  <c r="AB10" i="8"/>
  <c r="N8" i="42"/>
  <c r="O18" i="5"/>
  <c r="P18" i="5"/>
  <c r="P8" i="5"/>
  <c r="AD8" i="5"/>
  <c r="AD18" i="5"/>
  <c r="O14" i="6"/>
  <c r="M24" i="16"/>
  <c r="E97" i="44"/>
  <c r="C96" i="44"/>
  <c r="F8" i="23"/>
  <c r="F10" i="23"/>
  <c r="F41" i="23"/>
  <c r="AM17" i="5"/>
  <c r="AM22" i="5"/>
  <c r="AL17" i="15"/>
  <c r="AL10" i="14"/>
  <c r="AK17" i="15"/>
  <c r="M22" i="16"/>
  <c r="M25" i="16"/>
  <c r="M31" i="23"/>
  <c r="N31" i="23"/>
  <c r="AE26" i="42"/>
  <c r="T13" i="21"/>
  <c r="T35" i="21"/>
  <c r="T15" i="14"/>
  <c r="U17" i="15"/>
  <c r="V12" i="14"/>
  <c r="F8" i="24"/>
  <c r="F10" i="24"/>
  <c r="E43" i="24"/>
  <c r="P70" i="16"/>
  <c r="M26" i="16"/>
  <c r="O59" i="15"/>
  <c r="M60" i="15"/>
  <c r="Q7" i="15"/>
  <c r="P57" i="15"/>
  <c r="P59" i="15"/>
  <c r="N60" i="15"/>
  <c r="W14" i="14"/>
  <c r="V34" i="15"/>
  <c r="Y31" i="21"/>
  <c r="Y15" i="6"/>
  <c r="Y16" i="6"/>
  <c r="AM44" i="8"/>
  <c r="AG23" i="42"/>
  <c r="AF26" i="42"/>
  <c r="M30" i="24"/>
  <c r="N30" i="24"/>
  <c r="O3" i="24"/>
  <c r="O39" i="7"/>
  <c r="O41" i="7"/>
  <c r="P41" i="7"/>
  <c r="Q3" i="7"/>
  <c r="R7" i="16"/>
  <c r="Q68" i="16"/>
  <c r="Q70" i="16"/>
  <c r="P47" i="8"/>
  <c r="P49" i="8"/>
  <c r="Q49" i="8"/>
  <c r="R3" i="8"/>
  <c r="M31" i="16"/>
  <c r="M33" i="16"/>
  <c r="M32" i="16"/>
  <c r="N71" i="16"/>
  <c r="Q24" i="5"/>
  <c r="R3" i="5"/>
  <c r="Q16" i="42"/>
  <c r="P3" i="23"/>
  <c r="O30" i="23"/>
  <c r="AH23" i="42"/>
  <c r="O38" i="8"/>
  <c r="O39" i="8"/>
  <c r="M14" i="14"/>
  <c r="X33" i="21"/>
  <c r="L36" i="21"/>
  <c r="Y32" i="21"/>
  <c r="Y36" i="21"/>
  <c r="L34" i="15"/>
  <c r="P52" i="8"/>
  <c r="M32" i="21"/>
  <c r="M36" i="21"/>
  <c r="Q12" i="6"/>
  <c r="AE12" i="6"/>
  <c r="P28" i="6"/>
  <c r="O15" i="6"/>
  <c r="O16" i="6"/>
  <c r="M34" i="15"/>
  <c r="O29" i="6"/>
  <c r="N31" i="21"/>
  <c r="Q35" i="8"/>
  <c r="AE35" i="8"/>
  <c r="P37" i="8"/>
  <c r="R10" i="8"/>
  <c r="AC10" i="8"/>
  <c r="AB20" i="7"/>
  <c r="T20" i="7"/>
  <c r="AA20" i="7"/>
  <c r="AA21" i="7"/>
  <c r="S20" i="7"/>
  <c r="Z20" i="7"/>
  <c r="Z21" i="7"/>
  <c r="R20" i="7"/>
  <c r="Y20" i="7"/>
  <c r="Y21" i="7"/>
  <c r="Q20" i="7"/>
  <c r="X20" i="7"/>
  <c r="X21" i="7"/>
  <c r="W20" i="7"/>
  <c r="W21" i="7"/>
  <c r="V20" i="7"/>
  <c r="V21" i="7"/>
  <c r="U20" i="7"/>
  <c r="P20" i="7"/>
  <c r="AD20" i="7"/>
  <c r="AC16" i="8"/>
  <c r="AD16" i="8"/>
  <c r="AF16" i="8"/>
  <c r="AG16" i="8"/>
  <c r="AH16" i="8"/>
  <c r="AI16" i="8"/>
  <c r="AJ16" i="8"/>
  <c r="AK16" i="8"/>
  <c r="AL16" i="8"/>
  <c r="AM16" i="8"/>
  <c r="AN16" i="8"/>
  <c r="Q16" i="8"/>
  <c r="AE16" i="8"/>
  <c r="N22" i="42"/>
  <c r="O22" i="42"/>
  <c r="O12" i="42"/>
  <c r="AC12" i="42"/>
  <c r="AC22" i="42"/>
  <c r="O14" i="8"/>
  <c r="O23" i="8"/>
  <c r="N10" i="14"/>
  <c r="N21" i="42"/>
  <c r="O21" i="42"/>
  <c r="O11" i="42"/>
  <c r="AC11" i="42"/>
  <c r="AC21" i="42"/>
  <c r="N19" i="42"/>
  <c r="O19" i="42"/>
  <c r="O9" i="42"/>
  <c r="AC9" i="42"/>
  <c r="AC19" i="42"/>
  <c r="R11" i="8"/>
  <c r="AC11" i="8"/>
  <c r="Q11" i="8"/>
  <c r="AE11" i="8"/>
  <c r="O22" i="5"/>
  <c r="P17" i="5"/>
  <c r="P22" i="5"/>
  <c r="P10" i="14"/>
  <c r="Q8" i="7"/>
  <c r="AB8" i="7"/>
  <c r="R8" i="7"/>
  <c r="S8" i="7"/>
  <c r="T8" i="7"/>
  <c r="P8" i="7"/>
  <c r="AD8" i="7"/>
  <c r="R44" i="8"/>
  <c r="R22" i="8"/>
  <c r="R19" i="6"/>
  <c r="S3" i="6"/>
  <c r="N17" i="42"/>
  <c r="O7" i="42"/>
  <c r="AC7" i="42"/>
  <c r="AC17" i="42"/>
  <c r="N18" i="42"/>
  <c r="O18" i="42"/>
  <c r="O8" i="42"/>
  <c r="AC8" i="42"/>
  <c r="AC18" i="42"/>
  <c r="AC9" i="8"/>
  <c r="R9" i="8"/>
  <c r="Q31" i="8"/>
  <c r="Q9" i="8"/>
  <c r="AE9" i="8"/>
  <c r="S7" i="8"/>
  <c r="S21" i="8"/>
  <c r="T21" i="8"/>
  <c r="U21" i="8"/>
  <c r="V21" i="8"/>
  <c r="Q10" i="8"/>
  <c r="AE10" i="8"/>
  <c r="AD22" i="5"/>
  <c r="Q9" i="7"/>
  <c r="AB9" i="7"/>
  <c r="S9" i="7"/>
  <c r="R9" i="7"/>
  <c r="T9" i="7"/>
  <c r="P9" i="7"/>
  <c r="AD9" i="7"/>
  <c r="P7" i="7"/>
  <c r="AD7" i="7"/>
  <c r="Q3" i="42"/>
  <c r="P26" i="42"/>
  <c r="P14" i="6"/>
  <c r="Q7" i="6"/>
  <c r="T11" i="7"/>
  <c r="U11" i="7"/>
  <c r="AB11" i="7"/>
  <c r="R11" i="7"/>
  <c r="Q11" i="7"/>
  <c r="S11" i="7"/>
  <c r="P11" i="7"/>
  <c r="AD11" i="7"/>
  <c r="N24" i="16"/>
  <c r="G15" i="15"/>
  <c r="E98" i="44"/>
  <c r="C97" i="44"/>
  <c r="F9" i="23"/>
  <c r="F11" i="23"/>
  <c r="AM10" i="14"/>
  <c r="N25" i="16"/>
  <c r="V17" i="15"/>
  <c r="W12" i="14"/>
  <c r="U13" i="21"/>
  <c r="U15" i="14"/>
  <c r="F9" i="24"/>
  <c r="F11" i="24"/>
  <c r="F12" i="23"/>
  <c r="F43" i="23"/>
  <c r="Q27" i="7"/>
  <c r="N22" i="16"/>
  <c r="G14" i="15"/>
  <c r="F41" i="24"/>
  <c r="G46" i="15"/>
  <c r="M31" i="24"/>
  <c r="N31" i="24"/>
  <c r="O31" i="23"/>
  <c r="Q57" i="15"/>
  <c r="Q59" i="15"/>
  <c r="R7" i="15"/>
  <c r="Z15" i="6"/>
  <c r="Z16" i="6"/>
  <c r="W34" i="15"/>
  <c r="X14" i="14"/>
  <c r="Z31" i="21"/>
  <c r="AN44" i="8"/>
  <c r="AH26" i="42"/>
  <c r="AG26" i="42"/>
  <c r="R3" i="7"/>
  <c r="Q39" i="7"/>
  <c r="Q41" i="7"/>
  <c r="R47" i="8"/>
  <c r="R49" i="8"/>
  <c r="S3" i="8"/>
  <c r="J25" i="8"/>
  <c r="I80" i="16"/>
  <c r="E25" i="8"/>
  <c r="D80" i="16"/>
  <c r="M25" i="8"/>
  <c r="L80" i="16"/>
  <c r="L25" i="8"/>
  <c r="K80" i="16"/>
  <c r="G25" i="8"/>
  <c r="F80" i="16"/>
  <c r="O25" i="8"/>
  <c r="N80" i="16"/>
  <c r="N25" i="8"/>
  <c r="M80" i="16"/>
  <c r="H25" i="8"/>
  <c r="G80" i="16"/>
  <c r="P25" i="8"/>
  <c r="O80" i="16"/>
  <c r="K25" i="8"/>
  <c r="J80" i="16"/>
  <c r="F25" i="8"/>
  <c r="E80" i="16"/>
  <c r="I25" i="8"/>
  <c r="H80" i="16"/>
  <c r="K24" i="8"/>
  <c r="J79" i="16"/>
  <c r="F24" i="8"/>
  <c r="E79" i="16"/>
  <c r="N24" i="8"/>
  <c r="M79" i="16"/>
  <c r="G24" i="8"/>
  <c r="F79" i="16"/>
  <c r="J24" i="8"/>
  <c r="I79" i="16"/>
  <c r="I24" i="8"/>
  <c r="H79" i="16"/>
  <c r="E24" i="8"/>
  <c r="D79" i="16"/>
  <c r="L24" i="8"/>
  <c r="K79" i="16"/>
  <c r="M24" i="8"/>
  <c r="L79" i="16"/>
  <c r="H24" i="8"/>
  <c r="G79" i="16"/>
  <c r="P24" i="8"/>
  <c r="O79" i="16"/>
  <c r="O24" i="8"/>
  <c r="N79" i="16"/>
  <c r="P3" i="24"/>
  <c r="O30" i="24"/>
  <c r="S7" i="16"/>
  <c r="R68" i="16"/>
  <c r="R70" i="16"/>
  <c r="I23" i="7"/>
  <c r="I82" i="16"/>
  <c r="D23" i="7"/>
  <c r="F23" i="7"/>
  <c r="F82" i="16"/>
  <c r="G23" i="7"/>
  <c r="G82" i="16"/>
  <c r="E23" i="7"/>
  <c r="E82" i="16"/>
  <c r="H23" i="7"/>
  <c r="H82" i="16"/>
  <c r="O71" i="16"/>
  <c r="N31" i="16"/>
  <c r="N33" i="16"/>
  <c r="N26" i="16"/>
  <c r="N32" i="16"/>
  <c r="R16" i="42"/>
  <c r="S3" i="5"/>
  <c r="R24" i="5"/>
  <c r="Q3" i="23"/>
  <c r="P30" i="23"/>
  <c r="AF7" i="6"/>
  <c r="G21" i="14"/>
  <c r="U21" i="7"/>
  <c r="M33" i="21"/>
  <c r="AB21" i="7"/>
  <c r="O31" i="21"/>
  <c r="P53" i="8"/>
  <c r="Q53" i="8"/>
  <c r="Y33" i="21"/>
  <c r="AG7" i="6"/>
  <c r="AF28" i="6"/>
  <c r="Z32" i="21"/>
  <c r="Z36" i="21"/>
  <c r="N32" i="21"/>
  <c r="N33" i="21"/>
  <c r="P15" i="6"/>
  <c r="P16" i="6"/>
  <c r="P29" i="6"/>
  <c r="Q29" i="6"/>
  <c r="N14" i="14"/>
  <c r="P38" i="8"/>
  <c r="Q38" i="8"/>
  <c r="AE38" i="8"/>
  <c r="T3" i="6"/>
  <c r="S19" i="6"/>
  <c r="Q21" i="7"/>
  <c r="AC8" i="7"/>
  <c r="AE8" i="7"/>
  <c r="Q14" i="6"/>
  <c r="Q15" i="6"/>
  <c r="Q16" i="6"/>
  <c r="AE19" i="6"/>
  <c r="AE7" i="6"/>
  <c r="AE28" i="6"/>
  <c r="W21" i="8"/>
  <c r="AD21" i="8"/>
  <c r="AF21" i="8"/>
  <c r="AG21" i="8"/>
  <c r="AH21" i="8"/>
  <c r="AI21" i="8"/>
  <c r="AJ21" i="8"/>
  <c r="AK21" i="8"/>
  <c r="AL21" i="8"/>
  <c r="AM21" i="8"/>
  <c r="AN21" i="8"/>
  <c r="S9" i="8"/>
  <c r="T9" i="8"/>
  <c r="U9" i="8"/>
  <c r="P14" i="8"/>
  <c r="P23" i="8"/>
  <c r="O10" i="14"/>
  <c r="R23" i="8"/>
  <c r="AC11" i="7"/>
  <c r="AE11" i="7"/>
  <c r="AF11" i="7"/>
  <c r="AG11" i="7"/>
  <c r="AH11" i="7"/>
  <c r="AI11" i="7"/>
  <c r="AJ11" i="7"/>
  <c r="AK11" i="7"/>
  <c r="AL11" i="7"/>
  <c r="AM11" i="7"/>
  <c r="R3" i="42"/>
  <c r="Q26" i="42"/>
  <c r="AC9" i="7"/>
  <c r="AE9" i="7"/>
  <c r="AF9" i="7"/>
  <c r="AG9" i="7"/>
  <c r="AH9" i="7"/>
  <c r="AI9" i="7"/>
  <c r="AJ9" i="7"/>
  <c r="AK9" i="7"/>
  <c r="AL9" i="7"/>
  <c r="AM9" i="7"/>
  <c r="T7" i="8"/>
  <c r="T21" i="7"/>
  <c r="AD21" i="7"/>
  <c r="AC17" i="15"/>
  <c r="AD10" i="14"/>
  <c r="AC23" i="42"/>
  <c r="AD26" i="42"/>
  <c r="S21" i="7"/>
  <c r="S11" i="8"/>
  <c r="T11" i="8"/>
  <c r="U11" i="8"/>
  <c r="AC20" i="7"/>
  <c r="AE20" i="7"/>
  <c r="AF20" i="7"/>
  <c r="AG20" i="7"/>
  <c r="AH20" i="7"/>
  <c r="AI20" i="7"/>
  <c r="AJ20" i="7"/>
  <c r="AK20" i="7"/>
  <c r="AL20" i="7"/>
  <c r="AM20" i="7"/>
  <c r="S44" i="8"/>
  <c r="S22" i="8"/>
  <c r="Q37" i="8"/>
  <c r="AE31" i="8"/>
  <c r="AE37" i="8"/>
  <c r="N23" i="42"/>
  <c r="O14" i="14"/>
  <c r="O17" i="42"/>
  <c r="O23" i="42"/>
  <c r="AC26" i="42"/>
  <c r="R21" i="7"/>
  <c r="S10" i="8"/>
  <c r="T10" i="8"/>
  <c r="U10" i="8"/>
  <c r="O24" i="16"/>
  <c r="P24" i="16"/>
  <c r="AD24" i="16"/>
  <c r="E99" i="44"/>
  <c r="C98" i="44"/>
  <c r="D82" i="16"/>
  <c r="D85" i="16"/>
  <c r="D88" i="16"/>
  <c r="D34" i="16"/>
  <c r="O25" i="16"/>
  <c r="P25" i="16"/>
  <c r="G8" i="23"/>
  <c r="G9" i="23"/>
  <c r="W17" i="15"/>
  <c r="X12" i="14"/>
  <c r="V13" i="21"/>
  <c r="V35" i="21"/>
  <c r="V15" i="14"/>
  <c r="P45" i="16"/>
  <c r="AD45" i="16"/>
  <c r="R27" i="7"/>
  <c r="F85" i="16"/>
  <c r="E85" i="16"/>
  <c r="O22" i="16"/>
  <c r="P22" i="16"/>
  <c r="I85" i="16"/>
  <c r="H85" i="16"/>
  <c r="G85" i="16"/>
  <c r="O31" i="24"/>
  <c r="P31" i="23"/>
  <c r="H26" i="8"/>
  <c r="F26" i="8"/>
  <c r="E26" i="8"/>
  <c r="R57" i="15"/>
  <c r="R59" i="15"/>
  <c r="S7" i="15"/>
  <c r="AA15" i="6"/>
  <c r="AA16" i="6"/>
  <c r="X34" i="15"/>
  <c r="Y14" i="14"/>
  <c r="AA31" i="21"/>
  <c r="F41" i="8"/>
  <c r="E20" i="14"/>
  <c r="H41" i="8"/>
  <c r="F36" i="15"/>
  <c r="AI23" i="42"/>
  <c r="Q3" i="24"/>
  <c r="P30" i="24"/>
  <c r="T7" i="16"/>
  <c r="S68" i="16"/>
  <c r="S70" i="16"/>
  <c r="E41" i="8"/>
  <c r="S47" i="8"/>
  <c r="S49" i="8"/>
  <c r="T3" i="8"/>
  <c r="R39" i="7"/>
  <c r="R41" i="7"/>
  <c r="S3" i="7"/>
  <c r="O31" i="16"/>
  <c r="P31" i="16"/>
  <c r="O33" i="16"/>
  <c r="P33" i="16"/>
  <c r="AD33" i="16"/>
  <c r="Q71" i="16"/>
  <c r="O32" i="16"/>
  <c r="P32" i="16"/>
  <c r="AD32" i="16"/>
  <c r="O26" i="16"/>
  <c r="P26" i="16"/>
  <c r="AD26" i="16"/>
  <c r="S16" i="42"/>
  <c r="R3" i="23"/>
  <c r="Q30" i="23"/>
  <c r="S24" i="5"/>
  <c r="T3" i="5"/>
  <c r="F45" i="15"/>
  <c r="F12" i="24"/>
  <c r="P31" i="21"/>
  <c r="Z33" i="21"/>
  <c r="AA32" i="21"/>
  <c r="AA33" i="21"/>
  <c r="AA36" i="21"/>
  <c r="N36" i="21"/>
  <c r="O34" i="15"/>
  <c r="AF44" i="8"/>
  <c r="AE52" i="8"/>
  <c r="P39" i="8"/>
  <c r="Q39" i="8"/>
  <c r="AH7" i="6"/>
  <c r="AG28" i="6"/>
  <c r="O32" i="21"/>
  <c r="P32" i="21"/>
  <c r="P33" i="21"/>
  <c r="N34" i="15"/>
  <c r="AD11" i="8"/>
  <c r="AF11" i="8"/>
  <c r="AG11" i="8"/>
  <c r="AH11" i="8"/>
  <c r="AI11" i="8"/>
  <c r="AJ11" i="8"/>
  <c r="AK11" i="8"/>
  <c r="AL11" i="8"/>
  <c r="AM11" i="8"/>
  <c r="AN11" i="8"/>
  <c r="S23" i="8"/>
  <c r="AE14" i="6"/>
  <c r="AD31" i="21"/>
  <c r="U7" i="8"/>
  <c r="AD7" i="8"/>
  <c r="AF7" i="8"/>
  <c r="AG7" i="8"/>
  <c r="AH7" i="8"/>
  <c r="AI7" i="8"/>
  <c r="AJ7" i="8"/>
  <c r="AK7" i="8"/>
  <c r="AL7" i="8"/>
  <c r="AM7" i="8"/>
  <c r="AN7" i="8"/>
  <c r="P14" i="14"/>
  <c r="AF8" i="7"/>
  <c r="AE21" i="7"/>
  <c r="AD9" i="8"/>
  <c r="AF9" i="8"/>
  <c r="AG9" i="8"/>
  <c r="AH9" i="8"/>
  <c r="AI9" i="8"/>
  <c r="AJ9" i="8"/>
  <c r="AK9" i="8"/>
  <c r="AL9" i="8"/>
  <c r="AM9" i="8"/>
  <c r="AN9" i="8"/>
  <c r="T44" i="8"/>
  <c r="T22" i="8"/>
  <c r="S3" i="42"/>
  <c r="R26" i="42"/>
  <c r="T19" i="6"/>
  <c r="U3" i="6"/>
  <c r="AD10" i="8"/>
  <c r="AF10" i="8"/>
  <c r="AG10" i="8"/>
  <c r="AH10" i="8"/>
  <c r="AI10" i="8"/>
  <c r="AJ10" i="8"/>
  <c r="AK10" i="8"/>
  <c r="AL10" i="8"/>
  <c r="AM10" i="8"/>
  <c r="AN10" i="8"/>
  <c r="AE39" i="8"/>
  <c r="E100" i="44"/>
  <c r="C99" i="44"/>
  <c r="G10" i="23"/>
  <c r="G41" i="23"/>
  <c r="H15" i="15"/>
  <c r="X17" i="15"/>
  <c r="Y12" i="14"/>
  <c r="W13" i="21"/>
  <c r="W35" i="21"/>
  <c r="W15" i="14"/>
  <c r="S27" i="7"/>
  <c r="E88" i="16"/>
  <c r="E34" i="16"/>
  <c r="G8" i="24"/>
  <c r="G10" i="24"/>
  <c r="F43" i="24"/>
  <c r="Q31" i="23"/>
  <c r="P31" i="24"/>
  <c r="T7" i="15"/>
  <c r="S57" i="15"/>
  <c r="S59" i="15"/>
  <c r="AB15" i="6"/>
  <c r="AB16" i="6"/>
  <c r="AD14" i="6"/>
  <c r="AB31" i="21"/>
  <c r="Y34" i="15"/>
  <c r="Z14" i="14"/>
  <c r="D36" i="15"/>
  <c r="G20" i="14"/>
  <c r="AJ23" i="42"/>
  <c r="AI26" i="42"/>
  <c r="S39" i="7"/>
  <c r="S41" i="7"/>
  <c r="T3" i="7"/>
  <c r="U7" i="16"/>
  <c r="T68" i="16"/>
  <c r="T70" i="16"/>
  <c r="T47" i="8"/>
  <c r="T49" i="8"/>
  <c r="U3" i="8"/>
  <c r="D20" i="14"/>
  <c r="C36" i="15"/>
  <c r="Q30" i="24"/>
  <c r="R3" i="24"/>
  <c r="AD31" i="16"/>
  <c r="Q22" i="16"/>
  <c r="AD22" i="16"/>
  <c r="Q32" i="16"/>
  <c r="R71" i="16"/>
  <c r="Q33" i="16"/>
  <c r="Q24" i="16"/>
  <c r="Q26" i="16"/>
  <c r="Q31" i="16"/>
  <c r="S3" i="23"/>
  <c r="R30" i="23"/>
  <c r="T16" i="42"/>
  <c r="U3" i="5"/>
  <c r="T24" i="5"/>
  <c r="AD32" i="21"/>
  <c r="AI7" i="6"/>
  <c r="AH28" i="6"/>
  <c r="O33" i="21"/>
  <c r="AB32" i="21"/>
  <c r="AE15" i="6"/>
  <c r="AE16" i="6"/>
  <c r="AC34" i="15"/>
  <c r="AE29" i="6"/>
  <c r="AD33" i="21"/>
  <c r="T3" i="42"/>
  <c r="S26" i="42"/>
  <c r="T23" i="8"/>
  <c r="U44" i="8"/>
  <c r="U22" i="8"/>
  <c r="U23" i="8"/>
  <c r="V3" i="6"/>
  <c r="U19" i="6"/>
  <c r="AG8" i="7"/>
  <c r="AF21" i="7"/>
  <c r="E101" i="44"/>
  <c r="C100" i="44"/>
  <c r="P21" i="7"/>
  <c r="G11" i="23"/>
  <c r="G12" i="23"/>
  <c r="Y17" i="15"/>
  <c r="Z12" i="14"/>
  <c r="X13" i="21"/>
  <c r="X35" i="21"/>
  <c r="X15" i="14"/>
  <c r="T27" i="7"/>
  <c r="F88" i="16"/>
  <c r="H14" i="15"/>
  <c r="G41" i="24"/>
  <c r="H46" i="15"/>
  <c r="G9" i="24"/>
  <c r="R31" i="23"/>
  <c r="Q31" i="24"/>
  <c r="T57" i="15"/>
  <c r="T59" i="15"/>
  <c r="U7" i="15"/>
  <c r="AC15" i="6"/>
  <c r="AC16" i="6"/>
  <c r="AF14" i="6"/>
  <c r="AF29" i="6"/>
  <c r="AC31" i="21"/>
  <c r="Z34" i="15"/>
  <c r="AA14" i="14"/>
  <c r="AJ26" i="42"/>
  <c r="R30" i="24"/>
  <c r="S3" i="24"/>
  <c r="V7" i="16"/>
  <c r="U68" i="16"/>
  <c r="U70" i="16"/>
  <c r="T39" i="7"/>
  <c r="T41" i="7"/>
  <c r="U3" i="7"/>
  <c r="U47" i="8"/>
  <c r="U49" i="8"/>
  <c r="V3" i="8"/>
  <c r="R32" i="16"/>
  <c r="S71" i="16"/>
  <c r="R22" i="16"/>
  <c r="R24" i="16"/>
  <c r="R26" i="16"/>
  <c r="R33" i="16"/>
  <c r="R31" i="16"/>
  <c r="T3" i="23"/>
  <c r="S30" i="23"/>
  <c r="U24" i="5"/>
  <c r="V3" i="5"/>
  <c r="U16" i="42"/>
  <c r="AB33" i="21"/>
  <c r="AJ7" i="6"/>
  <c r="AI28" i="6"/>
  <c r="AD14" i="14"/>
  <c r="V44" i="8"/>
  <c r="V22" i="8"/>
  <c r="V23" i="8"/>
  <c r="AH8" i="7"/>
  <c r="AG21" i="7"/>
  <c r="W3" i="6"/>
  <c r="V19" i="6"/>
  <c r="U3" i="42"/>
  <c r="T26" i="42"/>
  <c r="E102" i="44"/>
  <c r="C101" i="44"/>
  <c r="P29" i="7"/>
  <c r="AB29" i="7"/>
  <c r="G43" i="23"/>
  <c r="H8" i="23"/>
  <c r="Z17" i="15"/>
  <c r="AA12" i="14"/>
  <c r="Y13" i="21"/>
  <c r="Y35" i="21"/>
  <c r="Y15" i="14"/>
  <c r="U27" i="7"/>
  <c r="F34" i="16"/>
  <c r="G88" i="16"/>
  <c r="S31" i="23"/>
  <c r="R31" i="24"/>
  <c r="G12" i="24"/>
  <c r="G11" i="24"/>
  <c r="V7" i="15"/>
  <c r="U57" i="15"/>
  <c r="U59" i="15"/>
  <c r="AG14" i="6"/>
  <c r="AG29" i="6"/>
  <c r="AF15" i="6"/>
  <c r="AE31" i="21"/>
  <c r="AA34" i="15"/>
  <c r="AB14" i="14"/>
  <c r="AD15" i="6"/>
  <c r="AD16" i="6"/>
  <c r="V47" i="8"/>
  <c r="V49" i="8"/>
  <c r="W3" i="8"/>
  <c r="U39" i="7"/>
  <c r="U41" i="7"/>
  <c r="V3" i="7"/>
  <c r="W7" i="16"/>
  <c r="V68" i="16"/>
  <c r="V70" i="16"/>
  <c r="T3" i="24"/>
  <c r="S30" i="24"/>
  <c r="S33" i="16"/>
  <c r="T71" i="16"/>
  <c r="S32" i="16"/>
  <c r="S22" i="16"/>
  <c r="S24" i="16"/>
  <c r="S26" i="16"/>
  <c r="S31" i="16"/>
  <c r="W3" i="5"/>
  <c r="V24" i="5"/>
  <c r="V16" i="42"/>
  <c r="U3" i="23"/>
  <c r="T30" i="23"/>
  <c r="H21" i="14"/>
  <c r="AE32" i="21"/>
  <c r="AE33" i="21"/>
  <c r="AK7" i="6"/>
  <c r="AJ28" i="6"/>
  <c r="V3" i="42"/>
  <c r="U26" i="42"/>
  <c r="W19" i="6"/>
  <c r="X3" i="6"/>
  <c r="W44" i="8"/>
  <c r="W22" i="8"/>
  <c r="W23" i="8"/>
  <c r="AI8" i="7"/>
  <c r="AH21" i="7"/>
  <c r="E103" i="44"/>
  <c r="C102" i="44"/>
  <c r="AC21" i="7"/>
  <c r="I15" i="15"/>
  <c r="H10" i="23"/>
  <c r="H41" i="23"/>
  <c r="H9" i="23"/>
  <c r="Z13" i="21"/>
  <c r="Z35" i="21"/>
  <c r="Z15" i="14"/>
  <c r="V27" i="7"/>
  <c r="H88" i="16"/>
  <c r="G34" i="16"/>
  <c r="T31" i="23"/>
  <c r="H8" i="24"/>
  <c r="G43" i="24"/>
  <c r="S31" i="24"/>
  <c r="W7" i="15"/>
  <c r="V57" i="15"/>
  <c r="V59" i="15"/>
  <c r="AF16" i="6"/>
  <c r="AB34" i="15"/>
  <c r="AC14" i="14"/>
  <c r="AH14" i="6"/>
  <c r="AH29" i="6"/>
  <c r="AG15" i="6"/>
  <c r="AF31" i="21"/>
  <c r="W47" i="8"/>
  <c r="W49" i="8"/>
  <c r="X3" i="8"/>
  <c r="T30" i="24"/>
  <c r="U3" i="24"/>
  <c r="W3" i="7"/>
  <c r="V39" i="7"/>
  <c r="V41" i="7"/>
  <c r="X7" i="16"/>
  <c r="W68" i="16"/>
  <c r="W70" i="16"/>
  <c r="T22" i="16"/>
  <c r="T24" i="16"/>
  <c r="T26" i="16"/>
  <c r="T33" i="16"/>
  <c r="T32" i="16"/>
  <c r="U71" i="16"/>
  <c r="T31" i="16"/>
  <c r="V3" i="23"/>
  <c r="U30" i="23"/>
  <c r="W24" i="5"/>
  <c r="X3" i="5"/>
  <c r="W16" i="42"/>
  <c r="M5" i="21"/>
  <c r="Z5" i="21"/>
  <c r="AJ5" i="21"/>
  <c r="G45" i="15"/>
  <c r="AF32" i="21"/>
  <c r="AF33" i="21"/>
  <c r="AL7" i="6"/>
  <c r="AK28" i="6"/>
  <c r="AJ8" i="7"/>
  <c r="AI21" i="7"/>
  <c r="Y3" i="6"/>
  <c r="X19" i="6"/>
  <c r="X44" i="8"/>
  <c r="X22" i="8"/>
  <c r="X23" i="8"/>
  <c r="V26" i="42"/>
  <c r="W3" i="42"/>
  <c r="E104" i="44"/>
  <c r="C103" i="44"/>
  <c r="AC29" i="7"/>
  <c r="H12" i="23"/>
  <c r="H43" i="23"/>
  <c r="H11" i="23"/>
  <c r="AA17" i="15"/>
  <c r="AB12" i="14"/>
  <c r="AA13" i="21"/>
  <c r="AA35" i="21"/>
  <c r="AA15" i="14"/>
  <c r="W27" i="7"/>
  <c r="U31" i="23"/>
  <c r="H34" i="16"/>
  <c r="I88" i="16"/>
  <c r="I14" i="15"/>
  <c r="T31" i="24"/>
  <c r="H9" i="24"/>
  <c r="H10" i="24"/>
  <c r="H12" i="24"/>
  <c r="W57" i="15"/>
  <c r="W59" i="15"/>
  <c r="X7" i="15"/>
  <c r="AI14" i="6"/>
  <c r="AI29" i="6"/>
  <c r="AH15" i="6"/>
  <c r="AG31" i="21"/>
  <c r="AF19" i="6"/>
  <c r="AE14" i="14"/>
  <c r="AD34" i="15"/>
  <c r="AG16" i="6"/>
  <c r="AG19" i="6"/>
  <c r="X47" i="8"/>
  <c r="X49" i="8"/>
  <c r="Y3" i="8"/>
  <c r="Y7" i="16"/>
  <c r="X68" i="16"/>
  <c r="X70" i="16"/>
  <c r="U30" i="24"/>
  <c r="V3" i="24"/>
  <c r="W39" i="7"/>
  <c r="W41" i="7"/>
  <c r="X3" i="7"/>
  <c r="U31" i="16"/>
  <c r="U33" i="16"/>
  <c r="V71" i="16"/>
  <c r="U32" i="16"/>
  <c r="U22" i="16"/>
  <c r="U24" i="16"/>
  <c r="U26" i="16"/>
  <c r="X16" i="42"/>
  <c r="Y3" i="5"/>
  <c r="X24" i="5"/>
  <c r="W3" i="23"/>
  <c r="V30" i="23"/>
  <c r="AG32" i="21"/>
  <c r="AG33" i="21"/>
  <c r="AM7" i="6"/>
  <c r="AL28" i="6"/>
  <c r="X3" i="42"/>
  <c r="W26" i="42"/>
  <c r="Y44" i="8"/>
  <c r="Y22" i="8"/>
  <c r="Y23" i="8"/>
  <c r="Z3" i="6"/>
  <c r="Y19" i="6"/>
  <c r="AK8" i="7"/>
  <c r="AJ21" i="7"/>
  <c r="E105" i="44"/>
  <c r="C104" i="44"/>
  <c r="V31" i="23"/>
  <c r="I8" i="23"/>
  <c r="J15" i="15"/>
  <c r="U31" i="24"/>
  <c r="X27" i="7"/>
  <c r="I34" i="16"/>
  <c r="H11" i="24"/>
  <c r="I8" i="24"/>
  <c r="H43" i="24"/>
  <c r="H41" i="24"/>
  <c r="I46" i="15"/>
  <c r="X57" i="15"/>
  <c r="X59" i="15"/>
  <c r="Y7" i="15"/>
  <c r="AF14" i="14"/>
  <c r="AE34" i="15"/>
  <c r="AH16" i="6"/>
  <c r="AJ14" i="6"/>
  <c r="AJ29" i="6"/>
  <c r="AI15" i="6"/>
  <c r="AH31" i="21"/>
  <c r="X39" i="7"/>
  <c r="X41" i="7"/>
  <c r="Y3" i="7"/>
  <c r="Y68" i="16"/>
  <c r="Y70" i="16"/>
  <c r="Z7" i="16"/>
  <c r="W3" i="24"/>
  <c r="V30" i="24"/>
  <c r="Y47" i="8"/>
  <c r="Y49" i="8"/>
  <c r="Z3" i="8"/>
  <c r="V31" i="16"/>
  <c r="V33" i="16"/>
  <c r="V22" i="16"/>
  <c r="V24" i="16"/>
  <c r="V26" i="16"/>
  <c r="V32" i="16"/>
  <c r="W71" i="16"/>
  <c r="X3" i="23"/>
  <c r="W30" i="23"/>
  <c r="Y16" i="42"/>
  <c r="Y24" i="5"/>
  <c r="Z3" i="5"/>
  <c r="AN7" i="6"/>
  <c r="AN28" i="6"/>
  <c r="AM28" i="6"/>
  <c r="AH32" i="21"/>
  <c r="AH33" i="21"/>
  <c r="AL8" i="7"/>
  <c r="AK21" i="7"/>
  <c r="AA3" i="6"/>
  <c r="Z19" i="6"/>
  <c r="Z44" i="8"/>
  <c r="Z22" i="8"/>
  <c r="Z23" i="8"/>
  <c r="Y3" i="42"/>
  <c r="X26" i="42"/>
  <c r="E106" i="44"/>
  <c r="C105" i="44"/>
  <c r="W31" i="23"/>
  <c r="I9" i="23"/>
  <c r="I10" i="23"/>
  <c r="I41" i="23"/>
  <c r="V31" i="24"/>
  <c r="AG34" i="14"/>
  <c r="AG36" i="14"/>
  <c r="AG24" i="5"/>
  <c r="AF34" i="14"/>
  <c r="AF36" i="14"/>
  <c r="AB13" i="21"/>
  <c r="AB35" i="21"/>
  <c r="AB15" i="14"/>
  <c r="Y27" i="7"/>
  <c r="J14" i="15"/>
  <c r="I9" i="24"/>
  <c r="I10" i="24"/>
  <c r="I12" i="24"/>
  <c r="I43" i="24"/>
  <c r="Z7" i="15"/>
  <c r="Y57" i="15"/>
  <c r="Y59" i="15"/>
  <c r="AK14" i="6"/>
  <c r="AK29" i="6"/>
  <c r="AJ15" i="6"/>
  <c r="AI31" i="21"/>
  <c r="AI16" i="6"/>
  <c r="AF34" i="15"/>
  <c r="AH19" i="6"/>
  <c r="AG14" i="14"/>
  <c r="W30" i="24"/>
  <c r="X3" i="24"/>
  <c r="Z3" i="7"/>
  <c r="Y39" i="7"/>
  <c r="Y41" i="7"/>
  <c r="Z47" i="8"/>
  <c r="Z49" i="8"/>
  <c r="AA3" i="8"/>
  <c r="Z68" i="16"/>
  <c r="Z70" i="16"/>
  <c r="AA7" i="16"/>
  <c r="W32" i="16"/>
  <c r="W22" i="16"/>
  <c r="W24" i="16"/>
  <c r="W26" i="16"/>
  <c r="W31" i="16"/>
  <c r="W33" i="16"/>
  <c r="X71" i="16"/>
  <c r="Z16" i="42"/>
  <c r="Y3" i="23"/>
  <c r="X30" i="23"/>
  <c r="AA3" i="5"/>
  <c r="Z24" i="5"/>
  <c r="I21" i="14"/>
  <c r="AI32" i="21"/>
  <c r="AI33" i="21"/>
  <c r="Z3" i="42"/>
  <c r="Y26" i="42"/>
  <c r="AB3" i="6"/>
  <c r="AA19" i="6"/>
  <c r="AA44" i="8"/>
  <c r="AA22" i="8"/>
  <c r="AA23" i="8"/>
  <c r="AM8" i="7"/>
  <c r="AM21" i="7"/>
  <c r="AL21" i="7"/>
  <c r="E107" i="44"/>
  <c r="C106" i="44"/>
  <c r="X31" i="23"/>
  <c r="I11" i="23"/>
  <c r="I12" i="23"/>
  <c r="I43" i="23"/>
  <c r="W31" i="24"/>
  <c r="AH34" i="14"/>
  <c r="AH36" i="14"/>
  <c r="AH24" i="5"/>
  <c r="J8" i="24"/>
  <c r="J9" i="24"/>
  <c r="Z27" i="7"/>
  <c r="J46" i="15"/>
  <c r="I11" i="24"/>
  <c r="I41" i="24"/>
  <c r="AA7" i="15"/>
  <c r="Z57" i="15"/>
  <c r="Z59" i="15"/>
  <c r="AJ16" i="6"/>
  <c r="AH14" i="14"/>
  <c r="AG34" i="15"/>
  <c r="AI19" i="6"/>
  <c r="AL14" i="6"/>
  <c r="AL29" i="6"/>
  <c r="AK15" i="6"/>
  <c r="AJ31" i="21"/>
  <c r="AA68" i="16"/>
  <c r="AA70" i="16"/>
  <c r="AB7" i="16"/>
  <c r="AB68" i="16"/>
  <c r="AB70" i="16"/>
  <c r="X30" i="24"/>
  <c r="Y3" i="24"/>
  <c r="AA47" i="8"/>
  <c r="AA49" i="8"/>
  <c r="AB3" i="8"/>
  <c r="Z39" i="7"/>
  <c r="Z41" i="7"/>
  <c r="AA3" i="7"/>
  <c r="X31" i="16"/>
  <c r="X33" i="16"/>
  <c r="X22" i="16"/>
  <c r="X26" i="16"/>
  <c r="Y71" i="16"/>
  <c r="X24" i="16"/>
  <c r="X32" i="16"/>
  <c r="AA24" i="5"/>
  <c r="AB3" i="5"/>
  <c r="AB24" i="5"/>
  <c r="AA16" i="42"/>
  <c r="Z3" i="23"/>
  <c r="Y30" i="23"/>
  <c r="H45" i="15"/>
  <c r="AJ32" i="21"/>
  <c r="AJ33" i="21"/>
  <c r="AB44" i="8"/>
  <c r="AB22" i="8"/>
  <c r="AB23" i="8"/>
  <c r="AC3" i="6"/>
  <c r="AC19" i="6"/>
  <c r="AB19" i="6"/>
  <c r="Z26" i="42"/>
  <c r="AA3" i="42"/>
  <c r="AA26" i="42"/>
  <c r="E108" i="44"/>
  <c r="C107" i="44"/>
  <c r="Y31" i="23"/>
  <c r="AA57" i="15"/>
  <c r="AA59" i="15"/>
  <c r="AB59" i="15"/>
  <c r="X31" i="24"/>
  <c r="J8" i="23"/>
  <c r="J10" i="23"/>
  <c r="AI24" i="5"/>
  <c r="K14" i="15"/>
  <c r="J10" i="24"/>
  <c r="J41" i="24"/>
  <c r="AA27" i="7"/>
  <c r="AK16" i="6"/>
  <c r="AM14" i="6"/>
  <c r="AM29" i="6"/>
  <c r="AL15" i="6"/>
  <c r="AK31" i="21"/>
  <c r="AI14" i="14"/>
  <c r="AH34" i="15"/>
  <c r="AJ19" i="6"/>
  <c r="AC70" i="16"/>
  <c r="AA39" i="7"/>
  <c r="AA41" i="7"/>
  <c r="AB3" i="7"/>
  <c r="AB47" i="8"/>
  <c r="AB49" i="8"/>
  <c r="AC3" i="8"/>
  <c r="AC22" i="8"/>
  <c r="Z3" i="24"/>
  <c r="Y30" i="24"/>
  <c r="Y32" i="16"/>
  <c r="Y22" i="16"/>
  <c r="Y24" i="16"/>
  <c r="Y26" i="16"/>
  <c r="Y31" i="16"/>
  <c r="Y33" i="16"/>
  <c r="Z71" i="16"/>
  <c r="B33" i="23"/>
  <c r="Z30" i="23"/>
  <c r="AK32" i="21"/>
  <c r="AK33" i="21"/>
  <c r="AC23" i="8"/>
  <c r="AD22" i="8"/>
  <c r="AF22" i="8"/>
  <c r="AG22" i="8"/>
  <c r="AH22" i="8"/>
  <c r="AI22" i="8"/>
  <c r="AJ22" i="8"/>
  <c r="AK22" i="8"/>
  <c r="AL22" i="8"/>
  <c r="AM22" i="8"/>
  <c r="AN22" i="8"/>
  <c r="E109" i="44"/>
  <c r="C108" i="44"/>
  <c r="Z31" i="23"/>
  <c r="B34" i="23"/>
  <c r="Y31" i="24"/>
  <c r="J9" i="23"/>
  <c r="J11" i="23"/>
  <c r="K15" i="15"/>
  <c r="J41" i="23"/>
  <c r="J12" i="23"/>
  <c r="AI34" i="14"/>
  <c r="AI36" i="14"/>
  <c r="AJ24" i="5"/>
  <c r="AJ34" i="14"/>
  <c r="AJ36" i="14"/>
  <c r="J11" i="24"/>
  <c r="J12" i="24"/>
  <c r="J43" i="24"/>
  <c r="K46" i="15"/>
  <c r="AB27" i="7"/>
  <c r="AC47" i="8"/>
  <c r="AC49" i="8"/>
  <c r="AD49" i="8"/>
  <c r="AC44" i="8"/>
  <c r="AL16" i="6"/>
  <c r="AN14" i="6"/>
  <c r="AN29" i="6"/>
  <c r="AM15" i="6"/>
  <c r="AL31" i="21"/>
  <c r="AK19" i="6"/>
  <c r="AI34" i="15"/>
  <c r="AJ14" i="14"/>
  <c r="AB39" i="7"/>
  <c r="AB41" i="7"/>
  <c r="AC41" i="7"/>
  <c r="B33" i="24"/>
  <c r="Z30" i="24"/>
  <c r="Z22" i="16"/>
  <c r="Z24" i="16"/>
  <c r="Z26" i="16"/>
  <c r="Z32" i="16"/>
  <c r="AA71" i="16"/>
  <c r="Z31" i="16"/>
  <c r="Z33" i="16"/>
  <c r="E35" i="16"/>
  <c r="C33" i="23"/>
  <c r="J21" i="14"/>
  <c r="AL32" i="21"/>
  <c r="AL33" i="21"/>
  <c r="E110" i="44"/>
  <c r="C109" i="44"/>
  <c r="Z31" i="24"/>
  <c r="B34" i="24"/>
  <c r="K8" i="24"/>
  <c r="K10" i="24"/>
  <c r="K41" i="24"/>
  <c r="J43" i="23"/>
  <c r="K8" i="23"/>
  <c r="AK34" i="14"/>
  <c r="AK36" i="14"/>
  <c r="AK24" i="5"/>
  <c r="C34" i="23"/>
  <c r="AK14" i="14"/>
  <c r="AJ34" i="15"/>
  <c r="AL19" i="6"/>
  <c r="AM16" i="6"/>
  <c r="AN15" i="6"/>
  <c r="AM31" i="21"/>
  <c r="C33" i="24"/>
  <c r="AA31" i="16"/>
  <c r="AA33" i="16"/>
  <c r="AB71" i="16"/>
  <c r="AA32" i="16"/>
  <c r="AA22" i="16"/>
  <c r="AA24" i="16"/>
  <c r="AA26" i="16"/>
  <c r="D33" i="23"/>
  <c r="F35" i="16"/>
  <c r="I45" i="15"/>
  <c r="AM32" i="21"/>
  <c r="AM33" i="21"/>
  <c r="E111" i="44"/>
  <c r="C110" i="44"/>
  <c r="K9" i="24"/>
  <c r="K11" i="24"/>
  <c r="L14" i="15"/>
  <c r="K12" i="24"/>
  <c r="L8" i="24"/>
  <c r="M14" i="15"/>
  <c r="L15" i="15"/>
  <c r="K9" i="23"/>
  <c r="K10" i="23"/>
  <c r="AL34" i="14"/>
  <c r="AL36" i="14"/>
  <c r="AL24" i="5"/>
  <c r="AM24" i="5"/>
  <c r="AM34" i="14"/>
  <c r="AM36" i="14"/>
  <c r="D34" i="23"/>
  <c r="C34" i="24"/>
  <c r="AM19" i="6"/>
  <c r="AN16" i="6"/>
  <c r="D33" i="24"/>
  <c r="AB31" i="16"/>
  <c r="AC31" i="16"/>
  <c r="AB33" i="16"/>
  <c r="AC33" i="16"/>
  <c r="AE33" i="16"/>
  <c r="AF33" i="16"/>
  <c r="AG33" i="16"/>
  <c r="AH33" i="16"/>
  <c r="AI33" i="16"/>
  <c r="AJ33" i="16"/>
  <c r="AK33" i="16"/>
  <c r="AL33" i="16"/>
  <c r="AM33" i="16"/>
  <c r="AB22" i="16"/>
  <c r="AC22" i="16"/>
  <c r="AB24" i="16"/>
  <c r="AC24" i="16"/>
  <c r="AE24" i="16"/>
  <c r="AF24" i="16"/>
  <c r="AG24" i="16"/>
  <c r="AH24" i="16"/>
  <c r="AI24" i="16"/>
  <c r="AJ24" i="16"/>
  <c r="AK24" i="16"/>
  <c r="AL24" i="16"/>
  <c r="AM24" i="16"/>
  <c r="AB26" i="16"/>
  <c r="AC26" i="16"/>
  <c r="AE26" i="16"/>
  <c r="AF26" i="16"/>
  <c r="AG26" i="16"/>
  <c r="AH26" i="16"/>
  <c r="AI26" i="16"/>
  <c r="AJ26" i="16"/>
  <c r="AK26" i="16"/>
  <c r="AL26" i="16"/>
  <c r="AM26" i="16"/>
  <c r="AB32" i="16"/>
  <c r="AC32" i="16"/>
  <c r="AE32" i="16"/>
  <c r="AF32" i="16"/>
  <c r="AG32" i="16"/>
  <c r="AH32" i="16"/>
  <c r="AI32" i="16"/>
  <c r="AJ32" i="16"/>
  <c r="AK32" i="16"/>
  <c r="AL32" i="16"/>
  <c r="AM32" i="16"/>
  <c r="G35" i="16"/>
  <c r="E33" i="23"/>
  <c r="K21" i="14"/>
  <c r="E112" i="44"/>
  <c r="C111" i="44"/>
  <c r="K43" i="24"/>
  <c r="K41" i="23"/>
  <c r="L46" i="15"/>
  <c r="K11" i="23"/>
  <c r="K12" i="23"/>
  <c r="L9" i="24"/>
  <c r="L10" i="24"/>
  <c r="E34" i="23"/>
  <c r="D34" i="24"/>
  <c r="AN19" i="6"/>
  <c r="E33" i="24"/>
  <c r="AE22" i="16"/>
  <c r="AE31" i="16"/>
  <c r="F33" i="23"/>
  <c r="H35" i="16"/>
  <c r="J45" i="15"/>
  <c r="E113" i="44"/>
  <c r="C112" i="44"/>
  <c r="K43" i="23"/>
  <c r="L8" i="23"/>
  <c r="L41" i="24"/>
  <c r="L11" i="24"/>
  <c r="L12" i="24"/>
  <c r="F34" i="23"/>
  <c r="E34" i="24"/>
  <c r="F33" i="24"/>
  <c r="AF31" i="16"/>
  <c r="AF22" i="16"/>
  <c r="G33" i="23"/>
  <c r="I35" i="16"/>
  <c r="L21" i="14"/>
  <c r="E114" i="44"/>
  <c r="C113" i="44"/>
  <c r="M15" i="15"/>
  <c r="L9" i="23"/>
  <c r="L10" i="23"/>
  <c r="G34" i="23"/>
  <c r="M8" i="24"/>
  <c r="N14" i="15"/>
  <c r="L43" i="24"/>
  <c r="F34" i="24"/>
  <c r="G33" i="24"/>
  <c r="AG31" i="16"/>
  <c r="AG22" i="16"/>
  <c r="H33" i="23"/>
  <c r="K45" i="15"/>
  <c r="E115" i="44"/>
  <c r="C114" i="44"/>
  <c r="L41" i="23"/>
  <c r="L12" i="23"/>
  <c r="M46" i="15"/>
  <c r="L11" i="23"/>
  <c r="O14" i="15"/>
  <c r="AC14" i="15"/>
  <c r="B16" i="11"/>
  <c r="G34" i="24"/>
  <c r="H34" i="23"/>
  <c r="N8" i="24"/>
  <c r="M10" i="24"/>
  <c r="M9" i="24"/>
  <c r="H33" i="24"/>
  <c r="AH22" i="16"/>
  <c r="AH31" i="16"/>
  <c r="I33" i="23"/>
  <c r="M21" i="14"/>
  <c r="E116" i="44"/>
  <c r="C115" i="44"/>
  <c r="M8" i="23"/>
  <c r="L43" i="23"/>
  <c r="I34" i="23"/>
  <c r="H34" i="24"/>
  <c r="M41" i="24"/>
  <c r="N10" i="24"/>
  <c r="AB8" i="24"/>
  <c r="M12" i="24"/>
  <c r="N9" i="24"/>
  <c r="AB9" i="24"/>
  <c r="M11" i="24"/>
  <c r="N11" i="24"/>
  <c r="AB11" i="24"/>
  <c r="I33" i="24"/>
  <c r="AI22" i="16"/>
  <c r="AI31" i="16"/>
  <c r="J33" i="23"/>
  <c r="L45" i="15"/>
  <c r="E117" i="44"/>
  <c r="C116" i="44"/>
  <c r="N15" i="15"/>
  <c r="O15" i="15"/>
  <c r="AC15" i="15"/>
  <c r="N8" i="23"/>
  <c r="AB8" i="23"/>
  <c r="M9" i="23"/>
  <c r="M10" i="23"/>
  <c r="J34" i="23"/>
  <c r="I34" i="24"/>
  <c r="M43" i="24"/>
  <c r="N12" i="24"/>
  <c r="AB10" i="24"/>
  <c r="J33" i="24"/>
  <c r="AJ31" i="16"/>
  <c r="AJ22" i="16"/>
  <c r="K33" i="23"/>
  <c r="N21" i="14"/>
  <c r="B17" i="11"/>
  <c r="E118" i="44"/>
  <c r="C117" i="44"/>
  <c r="J34" i="24"/>
  <c r="N9" i="23"/>
  <c r="M11" i="23"/>
  <c r="N11" i="23"/>
  <c r="M12" i="23"/>
  <c r="M41" i="23"/>
  <c r="N10" i="23"/>
  <c r="O46" i="15"/>
  <c r="N46" i="15"/>
  <c r="K34" i="23"/>
  <c r="AB12" i="24"/>
  <c r="O8" i="24"/>
  <c r="P14" i="15"/>
  <c r="K33" i="24"/>
  <c r="AK31" i="16"/>
  <c r="AK22" i="16"/>
  <c r="L33" i="23"/>
  <c r="M45" i="15"/>
  <c r="E119" i="44"/>
  <c r="C118" i="44"/>
  <c r="K34" i="24"/>
  <c r="M43" i="23"/>
  <c r="N12" i="23"/>
  <c r="O8" i="23"/>
  <c r="L34" i="23"/>
  <c r="AA8" i="24"/>
  <c r="AC8" i="24"/>
  <c r="O10" i="24"/>
  <c r="O41" i="24"/>
  <c r="B42" i="24"/>
  <c r="B44" i="24"/>
  <c r="O9" i="24"/>
  <c r="L33" i="24"/>
  <c r="AL22" i="16"/>
  <c r="AL31" i="16"/>
  <c r="M33" i="23"/>
  <c r="E120" i="44"/>
  <c r="C119" i="44"/>
  <c r="M34" i="23"/>
  <c r="N34" i="23"/>
  <c r="L34" i="24"/>
  <c r="O10" i="23"/>
  <c r="O41" i="23"/>
  <c r="B42" i="23"/>
  <c r="P15" i="15"/>
  <c r="O9" i="23"/>
  <c r="O11" i="24"/>
  <c r="O12" i="24"/>
  <c r="P8" i="24"/>
  <c r="Q14" i="15"/>
  <c r="M33" i="24"/>
  <c r="N33" i="24"/>
  <c r="AM22" i="16"/>
  <c r="AM31" i="16"/>
  <c r="O33" i="23"/>
  <c r="O21" i="14"/>
  <c r="AB11" i="23"/>
  <c r="E121" i="44"/>
  <c r="C120" i="44"/>
  <c r="B44" i="23"/>
  <c r="D49" i="16"/>
  <c r="D41" i="16"/>
  <c r="O12" i="23"/>
  <c r="O43" i="23"/>
  <c r="O11" i="23"/>
  <c r="O43" i="24"/>
  <c r="P9" i="24"/>
  <c r="P10" i="24"/>
  <c r="P41" i="24"/>
  <c r="C42" i="24"/>
  <c r="M34" i="24"/>
  <c r="N34" i="24"/>
  <c r="O34" i="23"/>
  <c r="O33" i="24"/>
  <c r="P33" i="23"/>
  <c r="AB12" i="23"/>
  <c r="AD76" i="16"/>
  <c r="AB10" i="23"/>
  <c r="P21" i="14"/>
  <c r="AB9" i="23"/>
  <c r="AD21" i="14"/>
  <c r="N45" i="15"/>
  <c r="E122" i="44"/>
  <c r="C121" i="44"/>
  <c r="C44" i="24"/>
  <c r="P8" i="23"/>
  <c r="P10" i="23"/>
  <c r="P41" i="23"/>
  <c r="C42" i="23"/>
  <c r="C44" i="23"/>
  <c r="P12" i="24"/>
  <c r="P43" i="24"/>
  <c r="P11" i="24"/>
  <c r="P34" i="23"/>
  <c r="O34" i="24"/>
  <c r="AC46" i="15"/>
  <c r="P33" i="24"/>
  <c r="Q33" i="23"/>
  <c r="AC45" i="15"/>
  <c r="O45" i="15"/>
  <c r="AA8" i="23"/>
  <c r="AC8" i="23"/>
  <c r="E123" i="44"/>
  <c r="C122" i="44"/>
  <c r="Q8" i="24"/>
  <c r="R14" i="15"/>
  <c r="E41" i="16"/>
  <c r="E49" i="16"/>
  <c r="P12" i="23"/>
  <c r="P43" i="23"/>
  <c r="Q15" i="15"/>
  <c r="P9" i="23"/>
  <c r="P11" i="23"/>
  <c r="Q34" i="23"/>
  <c r="P34" i="24"/>
  <c r="Q33" i="24"/>
  <c r="R33" i="23"/>
  <c r="E124" i="44"/>
  <c r="C123" i="44"/>
  <c r="Q10" i="24"/>
  <c r="Q41" i="24"/>
  <c r="D42" i="24"/>
  <c r="D44" i="24"/>
  <c r="Q9" i="24"/>
  <c r="Q8" i="23"/>
  <c r="R34" i="23"/>
  <c r="Q34" i="24"/>
  <c r="R33" i="24"/>
  <c r="S33" i="23"/>
  <c r="Q21" i="14"/>
  <c r="P46" i="15"/>
  <c r="E125" i="44"/>
  <c r="C124" i="44"/>
  <c r="Q12" i="24"/>
  <c r="R8" i="24"/>
  <c r="S14" i="15"/>
  <c r="Q11" i="24"/>
  <c r="Q10" i="23"/>
  <c r="Q41" i="23"/>
  <c r="Q9" i="23"/>
  <c r="R15" i="15"/>
  <c r="R34" i="24"/>
  <c r="S34" i="23"/>
  <c r="S33" i="24"/>
  <c r="T33" i="23"/>
  <c r="D50" i="16"/>
  <c r="P45" i="15"/>
  <c r="E126" i="44"/>
  <c r="C125" i="44"/>
  <c r="R9" i="24"/>
  <c r="Q43" i="24"/>
  <c r="R10" i="24"/>
  <c r="R41" i="24"/>
  <c r="E42" i="24"/>
  <c r="E44" i="24"/>
  <c r="D42" i="23"/>
  <c r="Q12" i="23"/>
  <c r="Q11" i="23"/>
  <c r="S34" i="24"/>
  <c r="T34" i="23"/>
  <c r="T33" i="24"/>
  <c r="D46" i="16"/>
  <c r="D52" i="16"/>
  <c r="D19" i="21"/>
  <c r="U33" i="23"/>
  <c r="E127" i="44"/>
  <c r="C126" i="44"/>
  <c r="R12" i="24"/>
  <c r="R43" i="24"/>
  <c r="R11" i="24"/>
  <c r="Q43" i="23"/>
  <c r="R8" i="23"/>
  <c r="S15" i="15"/>
  <c r="D44" i="23"/>
  <c r="F49" i="16"/>
  <c r="F41" i="16"/>
  <c r="T34" i="24"/>
  <c r="U34" i="23"/>
  <c r="U33" i="24"/>
  <c r="V33" i="23"/>
  <c r="E128" i="44"/>
  <c r="C127" i="44"/>
  <c r="S8" i="24"/>
  <c r="S10" i="24"/>
  <c r="S41" i="24"/>
  <c r="F42" i="24"/>
  <c r="R9" i="23"/>
  <c r="R10" i="23"/>
  <c r="R41" i="23"/>
  <c r="U34" i="24"/>
  <c r="V34" i="23"/>
  <c r="V33" i="24"/>
  <c r="W33" i="23"/>
  <c r="R21" i="14"/>
  <c r="Q46" i="15"/>
  <c r="E129" i="44"/>
  <c r="C128" i="44"/>
  <c r="T14" i="15"/>
  <c r="S9" i="24"/>
  <c r="S11" i="24"/>
  <c r="E42" i="23"/>
  <c r="R12" i="23"/>
  <c r="R11" i="23"/>
  <c r="V34" i="24"/>
  <c r="S12" i="24"/>
  <c r="T8" i="24"/>
  <c r="U14" i="15"/>
  <c r="F44" i="24"/>
  <c r="W34" i="23"/>
  <c r="W33" i="24"/>
  <c r="X33" i="23"/>
  <c r="E50" i="16"/>
  <c r="E46" i="16"/>
  <c r="Q45" i="15"/>
  <c r="E130" i="44"/>
  <c r="C129" i="44"/>
  <c r="E44" i="23"/>
  <c r="G49" i="16"/>
  <c r="G41" i="16"/>
  <c r="R43" i="23"/>
  <c r="S8" i="23"/>
  <c r="T15" i="15"/>
  <c r="W34" i="24"/>
  <c r="S43" i="24"/>
  <c r="T10" i="24"/>
  <c r="T41" i="24"/>
  <c r="T9" i="24"/>
  <c r="E52" i="16"/>
  <c r="E19" i="21"/>
  <c r="X34" i="23"/>
  <c r="X33" i="24"/>
  <c r="Y33" i="23"/>
  <c r="E131" i="44"/>
  <c r="C130" i="44"/>
  <c r="S9" i="23"/>
  <c r="S10" i="23"/>
  <c r="S41" i="23"/>
  <c r="X34" i="24"/>
  <c r="T12" i="24"/>
  <c r="U8" i="24"/>
  <c r="V14" i="15"/>
  <c r="T11" i="24"/>
  <c r="G42" i="24"/>
  <c r="Y34" i="23"/>
  <c r="Y33" i="24"/>
  <c r="Z33" i="23"/>
  <c r="Y34" i="24"/>
  <c r="E132" i="44"/>
  <c r="C131" i="44"/>
  <c r="F42" i="23"/>
  <c r="S12" i="23"/>
  <c r="S11" i="23"/>
  <c r="T43" i="24"/>
  <c r="U9" i="24"/>
  <c r="U10" i="24"/>
  <c r="U41" i="24"/>
  <c r="G44" i="24"/>
  <c r="Z34" i="23"/>
  <c r="Z33" i="24"/>
  <c r="B36" i="23"/>
  <c r="S21" i="14"/>
  <c r="R46" i="15"/>
  <c r="Z34" i="24"/>
  <c r="E133" i="44"/>
  <c r="C132" i="44"/>
  <c r="F44" i="23"/>
  <c r="H49" i="16"/>
  <c r="H41" i="16"/>
  <c r="S43" i="23"/>
  <c r="T8" i="23"/>
  <c r="U15" i="15"/>
  <c r="U11" i="24"/>
  <c r="U12" i="24"/>
  <c r="V8" i="24"/>
  <c r="W14" i="15"/>
  <c r="H42" i="24"/>
  <c r="B37" i="23"/>
  <c r="B36" i="24"/>
  <c r="C36" i="23"/>
  <c r="F50" i="16"/>
  <c r="F46" i="16"/>
  <c r="R45" i="15"/>
  <c r="B37" i="24"/>
  <c r="E134" i="44"/>
  <c r="C133" i="44"/>
  <c r="T10" i="23"/>
  <c r="T41" i="23"/>
  <c r="T9" i="23"/>
  <c r="U43" i="24"/>
  <c r="H44" i="24"/>
  <c r="V9" i="24"/>
  <c r="V10" i="24"/>
  <c r="V41" i="24"/>
  <c r="C37" i="23"/>
  <c r="C36" i="24"/>
  <c r="D36" i="23"/>
  <c r="F52" i="16"/>
  <c r="C37" i="24"/>
  <c r="E135" i="44"/>
  <c r="C134" i="44"/>
  <c r="T12" i="23"/>
  <c r="U8" i="23"/>
  <c r="V15" i="15"/>
  <c r="T11" i="23"/>
  <c r="G42" i="23"/>
  <c r="I42" i="24"/>
  <c r="V11" i="24"/>
  <c r="V12" i="24"/>
  <c r="D37" i="23"/>
  <c r="F19" i="21"/>
  <c r="D36" i="24"/>
  <c r="D37" i="24"/>
  <c r="E36" i="23"/>
  <c r="E136" i="44"/>
  <c r="C135" i="44"/>
  <c r="T43" i="23"/>
  <c r="G44" i="23"/>
  <c r="I49" i="16"/>
  <c r="I41" i="16"/>
  <c r="U9" i="23"/>
  <c r="U10" i="23"/>
  <c r="U41" i="23"/>
  <c r="H42" i="23"/>
  <c r="E37" i="23"/>
  <c r="W8" i="24"/>
  <c r="X14" i="15"/>
  <c r="V43" i="24"/>
  <c r="I44" i="24"/>
  <c r="E36" i="24"/>
  <c r="E37" i="24"/>
  <c r="F36" i="23"/>
  <c r="T21" i="14"/>
  <c r="S46" i="15"/>
  <c r="E137" i="44"/>
  <c r="C136" i="44"/>
  <c r="H44" i="23"/>
  <c r="J49" i="16"/>
  <c r="J41" i="16"/>
  <c r="U12" i="23"/>
  <c r="U11" i="23"/>
  <c r="F37" i="23"/>
  <c r="W10" i="24"/>
  <c r="W41" i="24"/>
  <c r="W9" i="24"/>
  <c r="F36" i="24"/>
  <c r="F37" i="24"/>
  <c r="G36" i="23"/>
  <c r="G50" i="16"/>
  <c r="G46" i="16"/>
  <c r="S45" i="15"/>
  <c r="E138" i="44"/>
  <c r="C137" i="44"/>
  <c r="U43" i="23"/>
  <c r="V8" i="23"/>
  <c r="G37" i="23"/>
  <c r="W11" i="24"/>
  <c r="J42" i="24"/>
  <c r="W12" i="24"/>
  <c r="G36" i="24"/>
  <c r="G37" i="24"/>
  <c r="H36" i="23"/>
  <c r="G52" i="16"/>
  <c r="E139" i="44"/>
  <c r="C138" i="44"/>
  <c r="H37" i="23"/>
  <c r="W15" i="15"/>
  <c r="V9" i="23"/>
  <c r="V10" i="23"/>
  <c r="V41" i="23"/>
  <c r="I42" i="23"/>
  <c r="J44" i="24"/>
  <c r="X8" i="24"/>
  <c r="Y14" i="15"/>
  <c r="W43" i="24"/>
  <c r="G19" i="21"/>
  <c r="H36" i="24"/>
  <c r="H37" i="24"/>
  <c r="I36" i="23"/>
  <c r="E140" i="44"/>
  <c r="C139" i="44"/>
  <c r="I37" i="23"/>
  <c r="V12" i="23"/>
  <c r="V43" i="23"/>
  <c r="V11" i="23"/>
  <c r="I44" i="23"/>
  <c r="K49" i="16"/>
  <c r="K41" i="16"/>
  <c r="X9" i="24"/>
  <c r="X10" i="24"/>
  <c r="I36" i="24"/>
  <c r="I37" i="24"/>
  <c r="J36" i="23"/>
  <c r="U21" i="14"/>
  <c r="T46" i="15"/>
  <c r="E141" i="44"/>
  <c r="C140" i="44"/>
  <c r="J37" i="23"/>
  <c r="W8" i="23"/>
  <c r="W10" i="23"/>
  <c r="W41" i="23"/>
  <c r="J42" i="23"/>
  <c r="X41" i="24"/>
  <c r="X11" i="24"/>
  <c r="X12" i="24"/>
  <c r="J36" i="24"/>
  <c r="J37" i="24"/>
  <c r="K36" i="23"/>
  <c r="H50" i="16"/>
  <c r="H46" i="16"/>
  <c r="T45" i="15"/>
  <c r="E142" i="44"/>
  <c r="C141" i="44"/>
  <c r="K37" i="23"/>
  <c r="X15" i="15"/>
  <c r="W9" i="23"/>
  <c r="W11" i="23"/>
  <c r="W12" i="23"/>
  <c r="W43" i="23"/>
  <c r="J44" i="23"/>
  <c r="L49" i="16"/>
  <c r="L41" i="16"/>
  <c r="Y8" i="24"/>
  <c r="Z14" i="15"/>
  <c r="X43" i="24"/>
  <c r="K42" i="24"/>
  <c r="K36" i="24"/>
  <c r="K37" i="24"/>
  <c r="L36" i="23"/>
  <c r="H52" i="16"/>
  <c r="U46" i="15"/>
  <c r="E143" i="44"/>
  <c r="C142" i="44"/>
  <c r="L37" i="23"/>
  <c r="X8" i="23"/>
  <c r="X10" i="23"/>
  <c r="X41" i="23"/>
  <c r="K42" i="23"/>
  <c r="K44" i="23"/>
  <c r="K44" i="24"/>
  <c r="Y10" i="24"/>
  <c r="Y12" i="24"/>
  <c r="Y9" i="24"/>
  <c r="L36" i="24"/>
  <c r="L37" i="24"/>
  <c r="H19" i="21"/>
  <c r="M36" i="23"/>
  <c r="V21" i="14"/>
  <c r="E144" i="44"/>
  <c r="C143" i="44"/>
  <c r="X9" i="23"/>
  <c r="X11" i="23"/>
  <c r="Y15" i="15"/>
  <c r="M49" i="16"/>
  <c r="X12" i="23"/>
  <c r="Y8" i="23"/>
  <c r="M41" i="16"/>
  <c r="Z8" i="24"/>
  <c r="AA14" i="15"/>
  <c r="AB14" i="15"/>
  <c r="AD14" i="15"/>
  <c r="Y43" i="24"/>
  <c r="Y11" i="24"/>
  <c r="Y41" i="24"/>
  <c r="M37" i="23"/>
  <c r="N37" i="23"/>
  <c r="M36" i="24"/>
  <c r="N36" i="24"/>
  <c r="I46" i="16"/>
  <c r="I50" i="16"/>
  <c r="O36" i="23"/>
  <c r="U45" i="15"/>
  <c r="V46" i="15"/>
  <c r="E145" i="44"/>
  <c r="C144" i="44"/>
  <c r="X43" i="23"/>
  <c r="Z15" i="15"/>
  <c r="Y10" i="23"/>
  <c r="Y41" i="23"/>
  <c r="L42" i="23"/>
  <c r="L44" i="23"/>
  <c r="Y9" i="23"/>
  <c r="L42" i="24"/>
  <c r="Z9" i="24"/>
  <c r="Z10" i="24"/>
  <c r="Z12" i="24"/>
  <c r="O37" i="23"/>
  <c r="M37" i="24"/>
  <c r="N37" i="24"/>
  <c r="I52" i="16"/>
  <c r="I19" i="21"/>
  <c r="O36" i="24"/>
  <c r="P36" i="23"/>
  <c r="W21" i="14"/>
  <c r="E146" i="44"/>
  <c r="C145" i="44"/>
  <c r="Y12" i="23"/>
  <c r="Y43" i="23"/>
  <c r="Y11" i="23"/>
  <c r="B16" i="24"/>
  <c r="Z43" i="24"/>
  <c r="AA12" i="24"/>
  <c r="AC12" i="24"/>
  <c r="O37" i="24"/>
  <c r="Z41" i="24"/>
  <c r="AA10" i="24"/>
  <c r="AC10" i="24"/>
  <c r="L44" i="24"/>
  <c r="N49" i="16"/>
  <c r="N41" i="16"/>
  <c r="Z11" i="24"/>
  <c r="AA11" i="24"/>
  <c r="AC11" i="24"/>
  <c r="AA9" i="24"/>
  <c r="AC9" i="24"/>
  <c r="P37" i="23"/>
  <c r="P36" i="24"/>
  <c r="J46" i="16"/>
  <c r="J50" i="16"/>
  <c r="Q36" i="23"/>
  <c r="V45" i="15"/>
  <c r="W46" i="15"/>
  <c r="E147" i="44"/>
  <c r="C146" i="44"/>
  <c r="Z8" i="23"/>
  <c r="Z10" i="23"/>
  <c r="Z41" i="23"/>
  <c r="M42" i="23"/>
  <c r="P37" i="24"/>
  <c r="Q37" i="23"/>
  <c r="M42" i="24"/>
  <c r="Q36" i="24"/>
  <c r="J52" i="16"/>
  <c r="J19" i="21"/>
  <c r="K46" i="16"/>
  <c r="R36" i="23"/>
  <c r="X21" i="14"/>
  <c r="E148" i="44"/>
  <c r="C147" i="44"/>
  <c r="AA15" i="15"/>
  <c r="AB15" i="15"/>
  <c r="AD15" i="15"/>
  <c r="Z9" i="23"/>
  <c r="Z11" i="23"/>
  <c r="Z12" i="23"/>
  <c r="M44" i="23"/>
  <c r="N44" i="23"/>
  <c r="AB44" i="23"/>
  <c r="N42" i="23"/>
  <c r="AB42" i="23"/>
  <c r="Q37" i="24"/>
  <c r="R37" i="23"/>
  <c r="N42" i="24"/>
  <c r="M44" i="24"/>
  <c r="O41" i="16"/>
  <c r="K50" i="16"/>
  <c r="K52" i="16"/>
  <c r="K19" i="21"/>
  <c r="X46" i="15"/>
  <c r="R36" i="24"/>
  <c r="S36" i="23"/>
  <c r="W45" i="15"/>
  <c r="E149" i="44"/>
  <c r="C148" i="44"/>
  <c r="Z43" i="23"/>
  <c r="B16" i="23"/>
  <c r="R37" i="24"/>
  <c r="S37" i="23"/>
  <c r="N44" i="24"/>
  <c r="O49" i="16"/>
  <c r="AB42" i="24"/>
  <c r="AD41" i="16"/>
  <c r="P41" i="16"/>
  <c r="Y21" i="14"/>
  <c r="S36" i="24"/>
  <c r="L46" i="16"/>
  <c r="T36" i="23"/>
  <c r="T37" i="23"/>
  <c r="C149" i="44"/>
  <c r="E150" i="44"/>
  <c r="N16" i="23"/>
  <c r="B17" i="23"/>
  <c r="B18" i="23"/>
  <c r="AL41" i="23"/>
  <c r="O42" i="23"/>
  <c r="O44" i="23"/>
  <c r="S37" i="24"/>
  <c r="AB44" i="24"/>
  <c r="AD49" i="16"/>
  <c r="P49" i="16"/>
  <c r="L50" i="16"/>
  <c r="L52" i="16"/>
  <c r="L19" i="21"/>
  <c r="T36" i="24"/>
  <c r="U36" i="23"/>
  <c r="X45" i="15"/>
  <c r="U37" i="23"/>
  <c r="T37" i="24"/>
  <c r="E151" i="44"/>
  <c r="C150" i="44"/>
  <c r="B20" i="23"/>
  <c r="AL43" i="23"/>
  <c r="B19" i="23"/>
  <c r="Y46" i="15"/>
  <c r="U36" i="24"/>
  <c r="V36" i="23"/>
  <c r="Z21" i="14"/>
  <c r="U37" i="24"/>
  <c r="E152" i="44"/>
  <c r="C151" i="44"/>
  <c r="C16" i="23"/>
  <c r="C18" i="23"/>
  <c r="AM41" i="23"/>
  <c r="P42" i="23"/>
  <c r="P44" i="23"/>
  <c r="V37" i="23"/>
  <c r="V36" i="24"/>
  <c r="W36" i="23"/>
  <c r="Y45" i="15"/>
  <c r="V37" i="24"/>
  <c r="E153" i="44"/>
  <c r="C152" i="44"/>
  <c r="C17" i="23"/>
  <c r="C19" i="23"/>
  <c r="C20" i="23"/>
  <c r="W37" i="23"/>
  <c r="M50" i="16"/>
  <c r="W36" i="24"/>
  <c r="X36" i="23"/>
  <c r="W37" i="24"/>
  <c r="X37" i="23"/>
  <c r="E154" i="44"/>
  <c r="C153" i="44"/>
  <c r="AM43" i="23"/>
  <c r="D16" i="23"/>
  <c r="X36" i="24"/>
  <c r="Y36" i="23"/>
  <c r="Y37" i="23"/>
  <c r="X37" i="24"/>
  <c r="E155" i="44"/>
  <c r="C154" i="44"/>
  <c r="D17" i="23"/>
  <c r="D18" i="23"/>
  <c r="AN41" i="23"/>
  <c r="Q42" i="23"/>
  <c r="Q44" i="23"/>
  <c r="AA21" i="14"/>
  <c r="Z46" i="15"/>
  <c r="Y36" i="24"/>
  <c r="Z36" i="23"/>
  <c r="B55" i="23"/>
  <c r="C55" i="23"/>
  <c r="Y37" i="24"/>
  <c r="D55" i="23"/>
  <c r="E156" i="44"/>
  <c r="C155" i="44"/>
  <c r="D20" i="23"/>
  <c r="D19" i="23"/>
  <c r="Z37" i="23"/>
  <c r="B56" i="23"/>
  <c r="Z45" i="15"/>
  <c r="N50" i="16"/>
  <c r="Z36" i="24"/>
  <c r="B55" i="24"/>
  <c r="C55" i="24"/>
  <c r="D55" i="24"/>
  <c r="C56" i="24"/>
  <c r="Z37" i="24"/>
  <c r="B56" i="24"/>
  <c r="E55" i="23"/>
  <c r="E157" i="44"/>
  <c r="C156" i="44"/>
  <c r="E16" i="23"/>
  <c r="AN43" i="23"/>
  <c r="C49" i="24"/>
  <c r="D50" i="24"/>
  <c r="E55" i="24"/>
  <c r="D56" i="24"/>
  <c r="C50" i="24"/>
  <c r="E56" i="23"/>
  <c r="F55" i="23"/>
  <c r="C56" i="23"/>
  <c r="D56" i="23"/>
  <c r="E158" i="44"/>
  <c r="C157" i="44"/>
  <c r="E18" i="23"/>
  <c r="AO41" i="23"/>
  <c r="R42" i="23"/>
  <c r="R44" i="23"/>
  <c r="E17" i="23"/>
  <c r="AA11" i="23"/>
  <c r="AC11" i="23"/>
  <c r="AB21" i="14"/>
  <c r="AA9" i="23"/>
  <c r="AA10" i="23"/>
  <c r="AA46" i="15"/>
  <c r="E50" i="24"/>
  <c r="D49" i="24"/>
  <c r="F55" i="24"/>
  <c r="E56" i="24"/>
  <c r="C51" i="24"/>
  <c r="CI41" i="24"/>
  <c r="F56" i="23"/>
  <c r="G55" i="23"/>
  <c r="E159" i="44"/>
  <c r="C158" i="44"/>
  <c r="E20" i="23"/>
  <c r="F16" i="23"/>
  <c r="E19" i="23"/>
  <c r="AA12" i="23"/>
  <c r="AC12" i="23"/>
  <c r="AE76" i="16"/>
  <c r="AC21" i="14"/>
  <c r="AC9" i="23"/>
  <c r="AE21" i="14"/>
  <c r="AA45" i="15"/>
  <c r="AB46" i="15"/>
  <c r="AC10" i="23"/>
  <c r="AD46" i="15"/>
  <c r="C53" i="24"/>
  <c r="CI43" i="24"/>
  <c r="CI42" i="24"/>
  <c r="CI44" i="24"/>
  <c r="F50" i="24"/>
  <c r="E49" i="24"/>
  <c r="E51" i="24"/>
  <c r="G55" i="24"/>
  <c r="F56" i="24"/>
  <c r="D51" i="24"/>
  <c r="D53" i="24"/>
  <c r="CJ43" i="24"/>
  <c r="CJ42" i="24"/>
  <c r="CJ44" i="24"/>
  <c r="C52" i="24"/>
  <c r="E52" i="24"/>
  <c r="H55" i="23"/>
  <c r="G56" i="23"/>
  <c r="E160" i="44"/>
  <c r="C159" i="44"/>
  <c r="AO43" i="23"/>
  <c r="F18" i="23"/>
  <c r="AP41" i="23"/>
  <c r="S42" i="23"/>
  <c r="S44" i="23"/>
  <c r="F17" i="23"/>
  <c r="AB45" i="15"/>
  <c r="O50" i="16"/>
  <c r="AD45" i="15"/>
  <c r="AD8" i="23"/>
  <c r="CJ41" i="24"/>
  <c r="D52" i="24"/>
  <c r="G50" i="24"/>
  <c r="F49" i="24"/>
  <c r="H55" i="24"/>
  <c r="G56" i="24"/>
  <c r="E53" i="24"/>
  <c r="CK43" i="24"/>
  <c r="CK42" i="24"/>
  <c r="CK44" i="24"/>
  <c r="CK41" i="24"/>
  <c r="H56" i="23"/>
  <c r="I55" i="23"/>
  <c r="E161" i="44"/>
  <c r="C161" i="44"/>
  <c r="C160" i="44"/>
  <c r="F20" i="23"/>
  <c r="G16" i="23"/>
  <c r="F19" i="23"/>
  <c r="P50" i="16"/>
  <c r="AD50" i="16"/>
  <c r="H50" i="24"/>
  <c r="G49" i="24"/>
  <c r="G51" i="24"/>
  <c r="I55" i="24"/>
  <c r="H56" i="24"/>
  <c r="F51" i="24"/>
  <c r="F53" i="24"/>
  <c r="CL43" i="24"/>
  <c r="CL42" i="24"/>
  <c r="CL44" i="24"/>
  <c r="I56" i="23"/>
  <c r="J55" i="23"/>
  <c r="AP43" i="23"/>
  <c r="G18" i="23"/>
  <c r="AQ41" i="23"/>
  <c r="G17" i="23"/>
  <c r="AD75" i="16"/>
  <c r="I50" i="24"/>
  <c r="H49" i="24"/>
  <c r="H51" i="24"/>
  <c r="H52" i="24"/>
  <c r="G53" i="24"/>
  <c r="CM43" i="24"/>
  <c r="CM42" i="24"/>
  <c r="CM44" i="24"/>
  <c r="CM41" i="24"/>
  <c r="J55" i="24"/>
  <c r="I56" i="24"/>
  <c r="CL41" i="24"/>
  <c r="F52" i="24"/>
  <c r="G52" i="24"/>
  <c r="K55" i="23"/>
  <c r="J56" i="23"/>
  <c r="G20" i="23"/>
  <c r="AQ43" i="23"/>
  <c r="G19" i="23"/>
  <c r="T42" i="23"/>
  <c r="T44" i="23"/>
  <c r="J50" i="24"/>
  <c r="I49" i="24"/>
  <c r="K55" i="24"/>
  <c r="J56" i="24"/>
  <c r="H53" i="24"/>
  <c r="CN43" i="24"/>
  <c r="CN42" i="24"/>
  <c r="CN44" i="24"/>
  <c r="CN41" i="24"/>
  <c r="L55" i="23"/>
  <c r="K56" i="23"/>
  <c r="H16" i="23"/>
  <c r="H18" i="23"/>
  <c r="AR41" i="23"/>
  <c r="U42" i="23"/>
  <c r="U44" i="23"/>
  <c r="K50" i="24"/>
  <c r="J49" i="24"/>
  <c r="J51" i="24"/>
  <c r="J52" i="24"/>
  <c r="L55" i="24"/>
  <c r="K56" i="24"/>
  <c r="I51" i="24"/>
  <c r="M55" i="23"/>
  <c r="L56" i="23"/>
  <c r="H17" i="23"/>
  <c r="H19" i="23"/>
  <c r="H20" i="23"/>
  <c r="AR43" i="23"/>
  <c r="CO41" i="24"/>
  <c r="I52" i="24"/>
  <c r="M55" i="24"/>
  <c r="L56" i="24"/>
  <c r="I53" i="24"/>
  <c r="CO43" i="24"/>
  <c r="CO42" i="24"/>
  <c r="CO44" i="24"/>
  <c r="J53" i="24"/>
  <c r="CP43" i="24"/>
  <c r="CP42" i="24"/>
  <c r="CP44" i="24"/>
  <c r="CP41" i="24"/>
  <c r="L50" i="24"/>
  <c r="K49" i="24"/>
  <c r="K51" i="24"/>
  <c r="K52" i="24"/>
  <c r="O55" i="23"/>
  <c r="M56" i="23"/>
  <c r="M50" i="23"/>
  <c r="L49" i="23"/>
  <c r="I16" i="23"/>
  <c r="I17" i="23"/>
  <c r="M50" i="24"/>
  <c r="L49" i="24"/>
  <c r="O55" i="24"/>
  <c r="M56" i="24"/>
  <c r="K53" i="24"/>
  <c r="CQ43" i="24"/>
  <c r="CQ42" i="24"/>
  <c r="CQ44" i="24"/>
  <c r="CQ41" i="24"/>
  <c r="N56" i="23"/>
  <c r="M49" i="23"/>
  <c r="P55" i="23"/>
  <c r="O56" i="23"/>
  <c r="L50" i="23"/>
  <c r="L51" i="23"/>
  <c r="I18" i="23"/>
  <c r="I20" i="23"/>
  <c r="L51" i="24"/>
  <c r="L53" i="24"/>
  <c r="CR43" i="24"/>
  <c r="CR42" i="24"/>
  <c r="CR44" i="24"/>
  <c r="N56" i="24"/>
  <c r="M49" i="24"/>
  <c r="P55" i="24"/>
  <c r="O56" i="24"/>
  <c r="L53" i="23"/>
  <c r="CR43" i="23"/>
  <c r="CR41" i="23"/>
  <c r="P56" i="23"/>
  <c r="Q55" i="23"/>
  <c r="L52" i="23"/>
  <c r="M51" i="23"/>
  <c r="M53" i="23"/>
  <c r="AS41" i="23"/>
  <c r="V42" i="23"/>
  <c r="V44" i="23"/>
  <c r="I19" i="23"/>
  <c r="AS43" i="23"/>
  <c r="J16" i="23"/>
  <c r="M51" i="24"/>
  <c r="M53" i="24"/>
  <c r="Q55" i="24"/>
  <c r="P56" i="24"/>
  <c r="CR41" i="24"/>
  <c r="L52" i="24"/>
  <c r="N53" i="23"/>
  <c r="AH12" i="23"/>
  <c r="CS43" i="23"/>
  <c r="CS42" i="23"/>
  <c r="CR42" i="23"/>
  <c r="CR44" i="23"/>
  <c r="M52" i="23"/>
  <c r="CS41" i="23"/>
  <c r="R55" i="23"/>
  <c r="Q56" i="23"/>
  <c r="J18" i="23"/>
  <c r="AT41" i="23"/>
  <c r="W42" i="23"/>
  <c r="W44" i="23"/>
  <c r="J17" i="23"/>
  <c r="R55" i="24"/>
  <c r="Q56" i="24"/>
  <c r="N53" i="24"/>
  <c r="AH12" i="24"/>
  <c r="CS43" i="24"/>
  <c r="CS42" i="24"/>
  <c r="CS44" i="24"/>
  <c r="CS41" i="24"/>
  <c r="M52" i="24"/>
  <c r="CS44" i="23"/>
  <c r="AH44" i="23"/>
  <c r="AH42" i="23"/>
  <c r="AJ41" i="16"/>
  <c r="R56" i="23"/>
  <c r="S55" i="23"/>
  <c r="J20" i="23"/>
  <c r="AT43" i="23"/>
  <c r="J19" i="23"/>
  <c r="S55" i="24"/>
  <c r="R56" i="24"/>
  <c r="S56" i="23"/>
  <c r="T55" i="23"/>
  <c r="K16" i="23"/>
  <c r="K17" i="23"/>
  <c r="T55" i="24"/>
  <c r="S56" i="24"/>
  <c r="T56" i="23"/>
  <c r="U55" i="23"/>
  <c r="K18" i="23"/>
  <c r="AU41" i="23"/>
  <c r="U55" i="24"/>
  <c r="T56" i="24"/>
  <c r="V55" i="23"/>
  <c r="U56" i="23"/>
  <c r="K19" i="23"/>
  <c r="K20" i="23"/>
  <c r="AU43" i="23"/>
  <c r="X42" i="23"/>
  <c r="X44" i="23"/>
  <c r="V55" i="24"/>
  <c r="U56" i="24"/>
  <c r="V56" i="23"/>
  <c r="W55" i="23"/>
  <c r="L16" i="23"/>
  <c r="L18" i="23"/>
  <c r="L20" i="23"/>
  <c r="Y43" i="16"/>
  <c r="X43" i="16"/>
  <c r="W43" i="16"/>
  <c r="V43" i="16"/>
  <c r="AA43" i="16"/>
  <c r="Z43" i="16"/>
  <c r="U43" i="16"/>
  <c r="T43" i="16"/>
  <c r="W55" i="24"/>
  <c r="V56" i="24"/>
  <c r="X55" i="23"/>
  <c r="W56" i="23"/>
  <c r="L17" i="23"/>
  <c r="L19" i="23"/>
  <c r="AV43" i="23"/>
  <c r="M16" i="23"/>
  <c r="AV41" i="23"/>
  <c r="X55" i="24"/>
  <c r="W56" i="24"/>
  <c r="Y55" i="23"/>
  <c r="X56" i="23"/>
  <c r="M18" i="23"/>
  <c r="M20" i="23"/>
  <c r="M17" i="23"/>
  <c r="Y42" i="23"/>
  <c r="Y44" i="23"/>
  <c r="Y55" i="24"/>
  <c r="X56" i="24"/>
  <c r="Z55" i="23"/>
  <c r="Z56" i="23"/>
  <c r="Y56" i="23"/>
  <c r="N17" i="23"/>
  <c r="AD9" i="23"/>
  <c r="M19" i="23"/>
  <c r="N19" i="23"/>
  <c r="AD11" i="23"/>
  <c r="AW43" i="23"/>
  <c r="O16" i="23"/>
  <c r="N20" i="23"/>
  <c r="AD12" i="23"/>
  <c r="AW41" i="23"/>
  <c r="N18" i="23"/>
  <c r="AD10" i="23"/>
  <c r="Z55" i="24"/>
  <c r="Z56" i="24"/>
  <c r="Y56" i="24"/>
  <c r="Z42" i="23"/>
  <c r="AA16" i="23"/>
  <c r="AE8" i="23"/>
  <c r="O17" i="23"/>
  <c r="O18" i="23"/>
  <c r="AX41" i="23"/>
  <c r="AL42" i="23"/>
  <c r="AL44" i="23"/>
  <c r="O20" i="23"/>
  <c r="P16" i="23"/>
  <c r="O19" i="23"/>
  <c r="AA42" i="23"/>
  <c r="AC42" i="23"/>
  <c r="Z44" i="23"/>
  <c r="AA44" i="23"/>
  <c r="AC44" i="23"/>
  <c r="M46" i="16"/>
  <c r="M52" i="16"/>
  <c r="M19" i="21"/>
  <c r="AX43" i="23"/>
  <c r="P17" i="23"/>
  <c r="P18" i="23"/>
  <c r="N46" i="16"/>
  <c r="N52" i="16"/>
  <c r="N19" i="21"/>
  <c r="P20" i="23"/>
  <c r="AY41" i="23"/>
  <c r="AM42" i="23"/>
  <c r="AM44" i="23"/>
  <c r="P19" i="23"/>
  <c r="AY43" i="23"/>
  <c r="Q16" i="23"/>
  <c r="Q17" i="23"/>
  <c r="Q18" i="23"/>
  <c r="AZ41" i="23"/>
  <c r="AN42" i="23"/>
  <c r="AN44" i="23"/>
  <c r="Q20" i="23"/>
  <c r="Q19" i="23"/>
  <c r="AZ43" i="23"/>
  <c r="R16" i="23"/>
  <c r="R18" i="23"/>
  <c r="BA41" i="23"/>
  <c r="R17" i="23"/>
  <c r="R19" i="23"/>
  <c r="R20" i="23"/>
  <c r="AO42" i="23"/>
  <c r="AO44" i="23"/>
  <c r="BA43" i="23"/>
  <c r="S16" i="23"/>
  <c r="S18" i="23"/>
  <c r="BB41" i="23"/>
  <c r="S17" i="23"/>
  <c r="S20" i="23"/>
  <c r="BB43" i="23"/>
  <c r="S19" i="23"/>
  <c r="AP42" i="23"/>
  <c r="AP44" i="23"/>
  <c r="T16" i="23"/>
  <c r="T17" i="23"/>
  <c r="T18" i="23"/>
  <c r="BC41" i="23"/>
  <c r="AQ42" i="23"/>
  <c r="AQ44" i="23"/>
  <c r="T19" i="23"/>
  <c r="T20" i="23"/>
  <c r="BC43" i="23"/>
  <c r="U16" i="23"/>
  <c r="U18" i="23"/>
  <c r="BD41" i="23"/>
  <c r="U17" i="23"/>
  <c r="U19" i="23"/>
  <c r="AR42" i="23"/>
  <c r="AR44" i="23"/>
  <c r="U20" i="23"/>
  <c r="U31" i="21"/>
  <c r="U32" i="21"/>
  <c r="AC32" i="21"/>
  <c r="AC33" i="21"/>
  <c r="V16" i="23"/>
  <c r="BD43" i="23"/>
  <c r="V38" i="8"/>
  <c r="AD38" i="8"/>
  <c r="U35" i="21"/>
  <c r="U33" i="21"/>
  <c r="U36" i="21"/>
  <c r="V18" i="23"/>
  <c r="BE41" i="23"/>
  <c r="V17" i="23"/>
  <c r="AF38" i="8"/>
  <c r="AG38" i="8"/>
  <c r="AD39" i="8"/>
  <c r="V39" i="8"/>
  <c r="V20" i="23"/>
  <c r="BE43" i="23"/>
  <c r="V19" i="23"/>
  <c r="AS42" i="23"/>
  <c r="AS44" i="23"/>
  <c r="AF39" i="8"/>
  <c r="AH38" i="8"/>
  <c r="AG39" i="8"/>
  <c r="W16" i="23"/>
  <c r="W17" i="23"/>
  <c r="AI38" i="8"/>
  <c r="AH39" i="8"/>
  <c r="W18" i="23"/>
  <c r="BF41" i="23"/>
  <c r="AT42" i="23"/>
  <c r="AT44" i="23"/>
  <c r="AJ38" i="8"/>
  <c r="AI39" i="8"/>
  <c r="W19" i="23"/>
  <c r="W20" i="23"/>
  <c r="BF43" i="23"/>
  <c r="AK38" i="8"/>
  <c r="AJ39" i="8"/>
  <c r="X16" i="23"/>
  <c r="X17" i="23"/>
  <c r="AL38" i="8"/>
  <c r="AK39" i="8"/>
  <c r="X18" i="23"/>
  <c r="BG41" i="23"/>
  <c r="AM38" i="8"/>
  <c r="AL39" i="8"/>
  <c r="X20" i="23"/>
  <c r="BG43" i="23"/>
  <c r="X19" i="23"/>
  <c r="AU42" i="23"/>
  <c r="AU44" i="23"/>
  <c r="AN38" i="8"/>
  <c r="AM39" i="8"/>
  <c r="Y16" i="23"/>
  <c r="Y18" i="23"/>
  <c r="Y20" i="23"/>
  <c r="AN39" i="8"/>
  <c r="Y17" i="23"/>
  <c r="Y19" i="23"/>
  <c r="BH43" i="23"/>
  <c r="Z16" i="23"/>
  <c r="BH41" i="23"/>
  <c r="Z17" i="23"/>
  <c r="Z18" i="23"/>
  <c r="AV42" i="23"/>
  <c r="AV44" i="23"/>
  <c r="BI41" i="23"/>
  <c r="AW42" i="23"/>
  <c r="AA18" i="23"/>
  <c r="AE10" i="23"/>
  <c r="Z20" i="23"/>
  <c r="Z19" i="23"/>
  <c r="AA19" i="23"/>
  <c r="AE11" i="23"/>
  <c r="AA17" i="23"/>
  <c r="AE9" i="23"/>
  <c r="BI43" i="23"/>
  <c r="AA20" i="23"/>
  <c r="AE12" i="23"/>
  <c r="B24" i="23"/>
  <c r="B26" i="23"/>
  <c r="BJ41" i="23"/>
  <c r="AX42" i="23"/>
  <c r="AX44" i="23"/>
  <c r="AW44" i="23"/>
  <c r="AD44" i="23"/>
  <c r="AD42" i="23"/>
  <c r="N16" i="24"/>
  <c r="AD8" i="24"/>
  <c r="B18" i="24"/>
  <c r="B17" i="24"/>
  <c r="B20" i="24"/>
  <c r="AL43" i="24"/>
  <c r="AL41" i="24"/>
  <c r="B19" i="24"/>
  <c r="C16" i="24"/>
  <c r="C18" i="24"/>
  <c r="AM41" i="24"/>
  <c r="P42" i="24"/>
  <c r="O42" i="24"/>
  <c r="C20" i="24"/>
  <c r="C17" i="24"/>
  <c r="C19" i="24"/>
  <c r="O44" i="24"/>
  <c r="Q49" i="16"/>
  <c r="Q50" i="16"/>
  <c r="Q41" i="16"/>
  <c r="P44" i="24"/>
  <c r="R49" i="16"/>
  <c r="R50" i="16"/>
  <c r="R41" i="16"/>
  <c r="AM43" i="24"/>
  <c r="D16" i="24"/>
  <c r="D17" i="24"/>
  <c r="D18" i="24"/>
  <c r="AN41" i="24"/>
  <c r="Q42" i="24"/>
  <c r="D20" i="24"/>
  <c r="D19" i="24"/>
  <c r="Q44" i="24"/>
  <c r="S49" i="16"/>
  <c r="S50" i="16"/>
  <c r="S41" i="16"/>
  <c r="AN43" i="24"/>
  <c r="E16" i="24"/>
  <c r="E17" i="24"/>
  <c r="E18" i="24"/>
  <c r="AO41" i="24"/>
  <c r="R42" i="24"/>
  <c r="R44" i="24"/>
  <c r="T49" i="16"/>
  <c r="T50" i="16"/>
  <c r="E20" i="24"/>
  <c r="AO43" i="24"/>
  <c r="T41" i="16"/>
  <c r="T46" i="16"/>
  <c r="E19" i="24"/>
  <c r="F16" i="24"/>
  <c r="F18" i="24"/>
  <c r="AP41" i="24"/>
  <c r="S42" i="24"/>
  <c r="S44" i="24"/>
  <c r="U49" i="16"/>
  <c r="U50" i="16"/>
  <c r="T52" i="16"/>
  <c r="T19" i="21"/>
  <c r="F17" i="24"/>
  <c r="F19" i="24"/>
  <c r="U41" i="16"/>
  <c r="U46" i="16"/>
  <c r="F20" i="24"/>
  <c r="G16" i="24"/>
  <c r="AP43" i="24"/>
  <c r="U52" i="16"/>
  <c r="U19" i="21"/>
  <c r="G18" i="24"/>
  <c r="AQ41" i="24"/>
  <c r="T42" i="24"/>
  <c r="V41" i="16"/>
  <c r="V46" i="16"/>
  <c r="G17" i="24"/>
  <c r="G19" i="24"/>
  <c r="T44" i="24"/>
  <c r="V49" i="16"/>
  <c r="V50" i="16"/>
  <c r="V52" i="16"/>
  <c r="G20" i="24"/>
  <c r="AQ43" i="24"/>
  <c r="H16" i="24"/>
  <c r="V19" i="21"/>
  <c r="H17" i="24"/>
  <c r="H18" i="24"/>
  <c r="AR41" i="24"/>
  <c r="U42" i="24"/>
  <c r="U44" i="24"/>
  <c r="W49" i="16"/>
  <c r="W50" i="16"/>
  <c r="W41" i="16"/>
  <c r="W46" i="16"/>
  <c r="H19" i="24"/>
  <c r="H20" i="24"/>
  <c r="AR43" i="24"/>
  <c r="I16" i="24"/>
  <c r="W52" i="16"/>
  <c r="I17" i="24"/>
  <c r="I18" i="24"/>
  <c r="AS41" i="24"/>
  <c r="W19" i="21"/>
  <c r="I20" i="24"/>
  <c r="AS43" i="24"/>
  <c r="V42" i="24"/>
  <c r="I19" i="24"/>
  <c r="J16" i="24"/>
  <c r="J17" i="24"/>
  <c r="V44" i="24"/>
  <c r="X49" i="16"/>
  <c r="X50" i="16"/>
  <c r="X41" i="16"/>
  <c r="X46" i="16"/>
  <c r="J18" i="24"/>
  <c r="AT41" i="24"/>
  <c r="W42" i="24"/>
  <c r="X52" i="16"/>
  <c r="J20" i="24"/>
  <c r="K16" i="24"/>
  <c r="J19" i="24"/>
  <c r="W44" i="24"/>
  <c r="Y49" i="16"/>
  <c r="Y50" i="16"/>
  <c r="Y41" i="16"/>
  <c r="Y46" i="16"/>
  <c r="X19" i="21"/>
  <c r="AT43" i="24"/>
  <c r="Y52" i="16"/>
  <c r="K18" i="24"/>
  <c r="K17" i="24"/>
  <c r="K19" i="24"/>
  <c r="AU41" i="24"/>
  <c r="K20" i="24"/>
  <c r="Y19" i="21"/>
  <c r="AU43" i="24"/>
  <c r="L16" i="24"/>
  <c r="X42" i="24"/>
  <c r="L18" i="24"/>
  <c r="L20" i="24"/>
  <c r="L17" i="24"/>
  <c r="Z41" i="16"/>
  <c r="Z46" i="16"/>
  <c r="X44" i="24"/>
  <c r="Z49" i="16"/>
  <c r="Z50" i="16"/>
  <c r="Z52" i="16"/>
  <c r="Z19" i="21"/>
  <c r="L19" i="24"/>
  <c r="AV43" i="24"/>
  <c r="M16" i="24"/>
  <c r="AV41" i="24"/>
  <c r="M18" i="24"/>
  <c r="M17" i="24"/>
  <c r="Y42" i="24"/>
  <c r="M19" i="24"/>
  <c r="N19" i="24"/>
  <c r="AD11" i="24"/>
  <c r="N17" i="24"/>
  <c r="AD9" i="24"/>
  <c r="AF21" i="14"/>
  <c r="AA41" i="16"/>
  <c r="AA46" i="16"/>
  <c r="Y44" i="24"/>
  <c r="AA49" i="16"/>
  <c r="AA50" i="16"/>
  <c r="AW41" i="24"/>
  <c r="N18" i="24"/>
  <c r="AD10" i="24"/>
  <c r="AE46" i="15"/>
  <c r="M20" i="24"/>
  <c r="AE45" i="15"/>
  <c r="AA52" i="16"/>
  <c r="AW43" i="24"/>
  <c r="O16" i="24"/>
  <c r="N20" i="24"/>
  <c r="AD12" i="24"/>
  <c r="AF76" i="16"/>
  <c r="Z42" i="24"/>
  <c r="Z44" i="24"/>
  <c r="AB41" i="16"/>
  <c r="AA42" i="24"/>
  <c r="O17" i="24"/>
  <c r="AA16" i="24"/>
  <c r="AE8" i="24"/>
  <c r="O18" i="24"/>
  <c r="AX41" i="24"/>
  <c r="AA19" i="21"/>
  <c r="AL42" i="24"/>
  <c r="AL44" i="24"/>
  <c r="O19" i="24"/>
  <c r="AB49" i="16"/>
  <c r="AB50" i="16"/>
  <c r="AA44" i="24"/>
  <c r="O20" i="24"/>
  <c r="AC42" i="24"/>
  <c r="AE41" i="16"/>
  <c r="AC41" i="16"/>
  <c r="AC49" i="16"/>
  <c r="AC50" i="16"/>
  <c r="AC44" i="24"/>
  <c r="AE49" i="16"/>
  <c r="AE50" i="16"/>
  <c r="AX43" i="24"/>
  <c r="P16" i="24"/>
  <c r="AE75" i="16"/>
  <c r="P17" i="24"/>
  <c r="P18" i="24"/>
  <c r="AY41" i="24"/>
  <c r="AM42" i="24"/>
  <c r="AM44" i="24"/>
  <c r="P19" i="24"/>
  <c r="P20" i="24"/>
  <c r="AY43" i="24"/>
  <c r="Q16" i="24"/>
  <c r="Q18" i="24"/>
  <c r="AZ41" i="24"/>
  <c r="Q17" i="24"/>
  <c r="Q19" i="24"/>
  <c r="AN42" i="24"/>
  <c r="AN44" i="24"/>
  <c r="Q20" i="24"/>
  <c r="AZ43" i="24"/>
  <c r="R16" i="24"/>
  <c r="R17" i="24"/>
  <c r="R18" i="24"/>
  <c r="BA41" i="24"/>
  <c r="AO42" i="24"/>
  <c r="AO44" i="24"/>
  <c r="R20" i="24"/>
  <c r="S16" i="24"/>
  <c r="R19" i="24"/>
  <c r="BA43" i="24"/>
  <c r="S18" i="24"/>
  <c r="BB41" i="24"/>
  <c r="AP42" i="24"/>
  <c r="AP44" i="24"/>
  <c r="S17" i="24"/>
  <c r="S20" i="24"/>
  <c r="S19" i="24"/>
  <c r="BB43" i="24"/>
  <c r="T16" i="24"/>
  <c r="T18" i="24"/>
  <c r="BC41" i="24"/>
  <c r="T17" i="24"/>
  <c r="T19" i="24"/>
  <c r="T20" i="24"/>
  <c r="BC43" i="24"/>
  <c r="AQ42" i="24"/>
  <c r="AQ44" i="24"/>
  <c r="U16" i="24"/>
  <c r="U18" i="24"/>
  <c r="BD41" i="24"/>
  <c r="U17" i="24"/>
  <c r="U19" i="24"/>
  <c r="AR42" i="24"/>
  <c r="AR44" i="24"/>
  <c r="U20" i="24"/>
  <c r="V16" i="24"/>
  <c r="BD43" i="24"/>
  <c r="V17" i="24"/>
  <c r="V18" i="24"/>
  <c r="BE41" i="24"/>
  <c r="AS42" i="24"/>
  <c r="AS44" i="24"/>
  <c r="V19" i="24"/>
  <c r="V20" i="24"/>
  <c r="BE43" i="24"/>
  <c r="W16" i="24"/>
  <c r="W18" i="24"/>
  <c r="W20" i="24"/>
  <c r="W17" i="24"/>
  <c r="X16" i="24"/>
  <c r="BF43" i="24"/>
  <c r="W19" i="24"/>
  <c r="BF41" i="24"/>
  <c r="AT42" i="24"/>
  <c r="AT44" i="24"/>
  <c r="X18" i="24"/>
  <c r="X17" i="24"/>
  <c r="X19" i="24"/>
  <c r="BG41" i="24"/>
  <c r="AU42" i="24"/>
  <c r="AU44" i="24"/>
  <c r="X20" i="24"/>
  <c r="BG43" i="24"/>
  <c r="Y16" i="24"/>
  <c r="Y18" i="24"/>
  <c r="Y17" i="24"/>
  <c r="Y19" i="24"/>
  <c r="BH41" i="24"/>
  <c r="AV42" i="24"/>
  <c r="AV44" i="24"/>
  <c r="Y20" i="24"/>
  <c r="BH43" i="24"/>
  <c r="Z16" i="24"/>
  <c r="Z17" i="24"/>
  <c r="Z18" i="24"/>
  <c r="Z20" i="24"/>
  <c r="B24" i="24"/>
  <c r="AA20" i="24"/>
  <c r="AE12" i="24"/>
  <c r="AG76" i="16"/>
  <c r="BI43" i="24"/>
  <c r="BI41" i="24"/>
  <c r="AW42" i="24"/>
  <c r="AA18" i="24"/>
  <c r="AE10" i="24"/>
  <c r="AF46" i="15"/>
  <c r="Z19" i="24"/>
  <c r="AA19" i="24"/>
  <c r="AE11" i="24"/>
  <c r="AA17" i="24"/>
  <c r="AE9" i="24"/>
  <c r="AG21" i="14"/>
  <c r="AF45" i="15"/>
  <c r="AW44" i="24"/>
  <c r="AD44" i="24"/>
  <c r="AF49" i="16"/>
  <c r="AF50" i="16"/>
  <c r="AD42" i="24"/>
  <c r="AF41" i="16"/>
  <c r="B25" i="24"/>
  <c r="B26" i="24"/>
  <c r="BJ41" i="24"/>
  <c r="AX42" i="24"/>
  <c r="AX44" i="24"/>
  <c r="N24" i="24"/>
  <c r="AF8" i="24"/>
  <c r="B27" i="24"/>
  <c r="B28" i="24"/>
  <c r="AF75" i="16"/>
  <c r="BJ43" i="24"/>
  <c r="C24" i="24"/>
  <c r="C26" i="24"/>
  <c r="C25" i="24"/>
  <c r="C27" i="24"/>
  <c r="C28" i="24"/>
  <c r="BK41" i="24"/>
  <c r="BK43" i="24"/>
  <c r="D24" i="24"/>
  <c r="AY42" i="24"/>
  <c r="AY44" i="24"/>
  <c r="D25" i="24"/>
  <c r="D26" i="24"/>
  <c r="BL41" i="24"/>
  <c r="D28" i="24"/>
  <c r="E24" i="24"/>
  <c r="AZ42" i="24"/>
  <c r="AZ44" i="24"/>
  <c r="D27" i="24"/>
  <c r="BL43" i="24"/>
  <c r="E25" i="24"/>
  <c r="E26" i="24"/>
  <c r="BM41" i="24"/>
  <c r="E27" i="24"/>
  <c r="BA42" i="24"/>
  <c r="BA44" i="24"/>
  <c r="E28" i="24"/>
  <c r="BM43" i="24"/>
  <c r="F24" i="24"/>
  <c r="F25" i="24"/>
  <c r="F26" i="24"/>
  <c r="BN41" i="24"/>
  <c r="BB42" i="24"/>
  <c r="BB44" i="24"/>
  <c r="F28" i="24"/>
  <c r="F27" i="24"/>
  <c r="BN43" i="24"/>
  <c r="G24" i="24"/>
  <c r="G25" i="24"/>
  <c r="G26" i="24"/>
  <c r="BO41" i="24"/>
  <c r="BC42" i="24"/>
  <c r="BC44" i="24"/>
  <c r="G28" i="24"/>
  <c r="G27" i="24"/>
  <c r="BO43" i="24"/>
  <c r="H24" i="24"/>
  <c r="H25" i="24"/>
  <c r="H26" i="24"/>
  <c r="BP41" i="24"/>
  <c r="H28" i="24"/>
  <c r="I24" i="24"/>
  <c r="BD42" i="24"/>
  <c r="BD44" i="24"/>
  <c r="H27" i="24"/>
  <c r="BP43" i="24"/>
  <c r="I25" i="24"/>
  <c r="I26" i="24"/>
  <c r="BQ41" i="24"/>
  <c r="BE42" i="24"/>
  <c r="BE44" i="24"/>
  <c r="I27" i="24"/>
  <c r="I28" i="24"/>
  <c r="J24" i="24"/>
  <c r="BQ43" i="24"/>
  <c r="J25" i="24"/>
  <c r="J26" i="24"/>
  <c r="J28" i="24"/>
  <c r="BR43" i="24"/>
  <c r="K24" i="24"/>
  <c r="BR41" i="24"/>
  <c r="J27" i="24"/>
  <c r="BF42" i="24"/>
  <c r="BF44" i="24"/>
  <c r="K25" i="24"/>
  <c r="K26" i="24"/>
  <c r="K28" i="24"/>
  <c r="L24" i="24"/>
  <c r="BS43" i="24"/>
  <c r="BS41" i="24"/>
  <c r="K27" i="24"/>
  <c r="BG42" i="24"/>
  <c r="BG44" i="24"/>
  <c r="L25" i="24"/>
  <c r="L26" i="24"/>
  <c r="BT41" i="24"/>
  <c r="L27" i="24"/>
  <c r="L28" i="24"/>
  <c r="M24" i="24"/>
  <c r="BT43" i="24"/>
  <c r="BH42" i="24"/>
  <c r="BH44" i="24"/>
  <c r="M25" i="24"/>
  <c r="M26" i="24"/>
  <c r="M28" i="24"/>
  <c r="O24" i="24"/>
  <c r="BU43" i="24"/>
  <c r="N28" i="24"/>
  <c r="AF12" i="24"/>
  <c r="BU41" i="24"/>
  <c r="N26" i="24"/>
  <c r="AF10" i="24"/>
  <c r="M27" i="24"/>
  <c r="N27" i="24"/>
  <c r="AF11" i="24"/>
  <c r="N25" i="24"/>
  <c r="AF9" i="24"/>
  <c r="AD25" i="16"/>
  <c r="Q25" i="16"/>
  <c r="BI42" i="24"/>
  <c r="O26" i="24"/>
  <c r="BV41" i="24"/>
  <c r="BJ42" i="24"/>
  <c r="BJ44" i="24"/>
  <c r="O25" i="24"/>
  <c r="AA24" i="24"/>
  <c r="AG8" i="24"/>
  <c r="R25" i="16"/>
  <c r="O27" i="24"/>
  <c r="BI44" i="24"/>
  <c r="AE44" i="24"/>
  <c r="AE42" i="24"/>
  <c r="O28" i="24"/>
  <c r="S25" i="16"/>
  <c r="P24" i="24"/>
  <c r="BV43" i="24"/>
  <c r="T25" i="16"/>
  <c r="P25" i="24"/>
  <c r="P26" i="24"/>
  <c r="BW41" i="24"/>
  <c r="U25" i="16"/>
  <c r="BK42" i="24"/>
  <c r="BK44" i="24"/>
  <c r="P27" i="24"/>
  <c r="P28" i="24"/>
  <c r="V25" i="16"/>
  <c r="BW43" i="24"/>
  <c r="Q24" i="24"/>
  <c r="W25" i="16"/>
  <c r="Q25" i="24"/>
  <c r="Q26" i="24"/>
  <c r="BX41" i="24"/>
  <c r="X25" i="16"/>
  <c r="Q27" i="24"/>
  <c r="Q28" i="24"/>
  <c r="R24" i="24"/>
  <c r="BL42" i="24"/>
  <c r="BL44" i="24"/>
  <c r="Y25" i="16"/>
  <c r="BX43" i="24"/>
  <c r="R26" i="24"/>
  <c r="BY41" i="24"/>
  <c r="R25" i="24"/>
  <c r="Z25" i="16"/>
  <c r="R27" i="24"/>
  <c r="R28" i="24"/>
  <c r="BY43" i="24"/>
  <c r="BM42" i="24"/>
  <c r="BM44" i="24"/>
  <c r="AA25" i="16"/>
  <c r="S24" i="24"/>
  <c r="S26" i="24"/>
  <c r="BZ41" i="24"/>
  <c r="AB25" i="16"/>
  <c r="S25" i="24"/>
  <c r="S27" i="24"/>
  <c r="BN42" i="24"/>
  <c r="BN44" i="24"/>
  <c r="S28" i="24"/>
  <c r="AC25" i="16"/>
  <c r="BZ43" i="24"/>
  <c r="T24" i="24"/>
  <c r="AE25" i="16"/>
  <c r="T26" i="24"/>
  <c r="CA41" i="24"/>
  <c r="T25" i="24"/>
  <c r="AF25" i="16"/>
  <c r="T27" i="24"/>
  <c r="BO42" i="24"/>
  <c r="BO44" i="24"/>
  <c r="T28" i="24"/>
  <c r="AG25" i="16"/>
  <c r="CA43" i="24"/>
  <c r="U24" i="24"/>
  <c r="AH25" i="16"/>
  <c r="U25" i="24"/>
  <c r="U26" i="24"/>
  <c r="U28" i="24"/>
  <c r="V24" i="24"/>
  <c r="CB43" i="24"/>
  <c r="CB41" i="24"/>
  <c r="U27" i="24"/>
  <c r="V26" i="24"/>
  <c r="V25" i="24"/>
  <c r="BP42" i="24"/>
  <c r="BP44" i="24"/>
  <c r="V27" i="24"/>
  <c r="CC41" i="24"/>
  <c r="V28" i="24"/>
  <c r="BQ42" i="24"/>
  <c r="BQ44" i="24"/>
  <c r="W24" i="24"/>
  <c r="CC43" i="24"/>
  <c r="W26" i="24"/>
  <c r="W28" i="24"/>
  <c r="W25" i="24"/>
  <c r="N24" i="23"/>
  <c r="AF8" i="23"/>
  <c r="B25" i="23"/>
  <c r="X24" i="24"/>
  <c r="CD43" i="24"/>
  <c r="W27" i="24"/>
  <c r="CD41" i="24"/>
  <c r="B28" i="23"/>
  <c r="B27" i="23"/>
  <c r="BR42" i="24"/>
  <c r="BR44" i="24"/>
  <c r="X25" i="24"/>
  <c r="X26" i="24"/>
  <c r="X28" i="24"/>
  <c r="C24" i="23"/>
  <c r="C26" i="23"/>
  <c r="BK41" i="23"/>
  <c r="BJ43" i="23"/>
  <c r="CE43" i="24"/>
  <c r="Y24" i="24"/>
  <c r="CE41" i="24"/>
  <c r="X27" i="24"/>
  <c r="AY42" i="23"/>
  <c r="AY44" i="23"/>
  <c r="C25" i="23"/>
  <c r="C27" i="23"/>
  <c r="C28" i="23"/>
  <c r="Y25" i="24"/>
  <c r="Y26" i="24"/>
  <c r="BS42" i="24"/>
  <c r="BS44" i="24"/>
  <c r="D24" i="23"/>
  <c r="D26" i="23"/>
  <c r="BL41" i="23"/>
  <c r="BK43" i="23"/>
  <c r="Y28" i="24"/>
  <c r="CF41" i="24"/>
  <c r="Y27" i="24"/>
  <c r="AZ42" i="23"/>
  <c r="AZ44" i="23"/>
  <c r="D25" i="23"/>
  <c r="D27" i="23"/>
  <c r="D28" i="23"/>
  <c r="BT42" i="24"/>
  <c r="BT44" i="24"/>
  <c r="Z24" i="24"/>
  <c r="CF43" i="24"/>
  <c r="E24" i="23"/>
  <c r="E26" i="23"/>
  <c r="BM41" i="23"/>
  <c r="BL43" i="23"/>
  <c r="Z25" i="24"/>
  <c r="Z26" i="24"/>
  <c r="BA42" i="23"/>
  <c r="BA44" i="23"/>
  <c r="E25" i="23"/>
  <c r="E27" i="23"/>
  <c r="E28" i="23"/>
  <c r="Z28" i="24"/>
  <c r="CG41" i="24"/>
  <c r="AA26" i="24"/>
  <c r="AG10" i="24"/>
  <c r="Z27" i="24"/>
  <c r="AA27" i="24"/>
  <c r="AG11" i="24"/>
  <c r="AA25" i="24"/>
  <c r="AG9" i="24"/>
  <c r="F24" i="23"/>
  <c r="F26" i="23"/>
  <c r="BN41" i="23"/>
  <c r="BM43" i="23"/>
  <c r="BU42" i="24"/>
  <c r="AA28" i="24"/>
  <c r="CG43" i="24"/>
  <c r="F25" i="23"/>
  <c r="F27" i="23"/>
  <c r="BB42" i="23"/>
  <c r="BB44" i="23"/>
  <c r="F28" i="23"/>
  <c r="AG12" i="24"/>
  <c r="B49" i="24"/>
  <c r="AF42" i="24"/>
  <c r="BU44" i="24"/>
  <c r="AF44" i="24"/>
  <c r="G24" i="23"/>
  <c r="G26" i="23"/>
  <c r="BO41" i="23"/>
  <c r="BN43" i="23"/>
  <c r="B50" i="24"/>
  <c r="B51" i="24"/>
  <c r="B53" i="24"/>
  <c r="CH43" i="24"/>
  <c r="CH42" i="24"/>
  <c r="CH44" i="24"/>
  <c r="N49" i="24"/>
  <c r="AH8" i="24"/>
  <c r="G25" i="23"/>
  <c r="G27" i="23"/>
  <c r="BC42" i="23"/>
  <c r="BC44" i="23"/>
  <c r="G28" i="23"/>
  <c r="N50" i="24"/>
  <c r="AH9" i="24"/>
  <c r="B52" i="24"/>
  <c r="N52" i="24"/>
  <c r="AH11" i="24"/>
  <c r="CH41" i="24"/>
  <c r="N51" i="24"/>
  <c r="AH10" i="24"/>
  <c r="H24" i="23"/>
  <c r="H26" i="23"/>
  <c r="BP41" i="23"/>
  <c r="BO43" i="23"/>
  <c r="BV42" i="24"/>
  <c r="BV44" i="24"/>
  <c r="CC42" i="24"/>
  <c r="CC44" i="24"/>
  <c r="BX42" i="24"/>
  <c r="BX44" i="24"/>
  <c r="BW42" i="24"/>
  <c r="BW44" i="24"/>
  <c r="BY42" i="24"/>
  <c r="BY44" i="24"/>
  <c r="CD42" i="24"/>
  <c r="CD44" i="24"/>
  <c r="BZ42" i="24"/>
  <c r="BZ44" i="24"/>
  <c r="CA42" i="24"/>
  <c r="CA44" i="24"/>
  <c r="CE42" i="24"/>
  <c r="CE44" i="24"/>
  <c r="CB42" i="24"/>
  <c r="CB44" i="24"/>
  <c r="CF42" i="24"/>
  <c r="CF44" i="24"/>
  <c r="CG42" i="24"/>
  <c r="H25" i="23"/>
  <c r="H27" i="23"/>
  <c r="BD42" i="23"/>
  <c r="BD44" i="23"/>
  <c r="H28" i="23"/>
  <c r="AG42" i="24"/>
  <c r="CG44" i="24"/>
  <c r="AG44" i="24"/>
  <c r="I24" i="23"/>
  <c r="I26" i="23"/>
  <c r="BQ41" i="23"/>
  <c r="BP43" i="23"/>
  <c r="I25" i="23"/>
  <c r="I27" i="23"/>
  <c r="BE42" i="23"/>
  <c r="BE44" i="23"/>
  <c r="I28" i="23"/>
  <c r="J24" i="23"/>
  <c r="J26" i="23"/>
  <c r="BR41" i="23"/>
  <c r="BQ43" i="23"/>
  <c r="J25" i="23"/>
  <c r="J27" i="23"/>
  <c r="BF42" i="23"/>
  <c r="BF44" i="23"/>
  <c r="J28" i="23"/>
  <c r="K24" i="23"/>
  <c r="K26" i="23"/>
  <c r="BS41" i="23"/>
  <c r="BR43" i="23"/>
  <c r="BG42" i="23"/>
  <c r="BG44" i="23"/>
  <c r="K25" i="23"/>
  <c r="K27" i="23"/>
  <c r="K28" i="23"/>
  <c r="L24" i="23"/>
  <c r="L26" i="23"/>
  <c r="BT41" i="23"/>
  <c r="BS43" i="23"/>
  <c r="L25" i="23"/>
  <c r="L27" i="23"/>
  <c r="BH42" i="23"/>
  <c r="BH44" i="23"/>
  <c r="L28" i="23"/>
  <c r="M24" i="23"/>
  <c r="M26" i="23"/>
  <c r="BU41" i="23"/>
  <c r="BT43" i="23"/>
  <c r="M25" i="23"/>
  <c r="M27" i="23"/>
  <c r="N27" i="23"/>
  <c r="AF11" i="23"/>
  <c r="M28" i="23"/>
  <c r="BI42" i="23"/>
  <c r="N26" i="23"/>
  <c r="AF10" i="23"/>
  <c r="AG46" i="15"/>
  <c r="N25" i="23"/>
  <c r="AF9" i="23"/>
  <c r="AH21" i="14"/>
  <c r="N28" i="23"/>
  <c r="O24" i="23"/>
  <c r="BU43" i="23"/>
  <c r="AE42" i="23"/>
  <c r="BI44" i="23"/>
  <c r="AE44" i="23"/>
  <c r="AG45" i="15"/>
  <c r="AF12" i="23"/>
  <c r="AH76" i="16"/>
  <c r="AG41" i="16"/>
  <c r="O26" i="23"/>
  <c r="AA24" i="23"/>
  <c r="AG8" i="23"/>
  <c r="O25" i="23"/>
  <c r="AG49" i="16"/>
  <c r="AG75" i="16"/>
  <c r="O27" i="23"/>
  <c r="O28" i="23"/>
  <c r="BV41" i="23"/>
  <c r="AG50" i="16"/>
  <c r="BJ42" i="23"/>
  <c r="BJ44" i="23"/>
  <c r="P24" i="23"/>
  <c r="BV43" i="23"/>
  <c r="P26" i="23"/>
  <c r="BW41" i="23"/>
  <c r="P25" i="23"/>
  <c r="P27" i="23"/>
  <c r="P28" i="23"/>
  <c r="BK42" i="23"/>
  <c r="BK44" i="23"/>
  <c r="Q24" i="23"/>
  <c r="BW43" i="23"/>
  <c r="Q26" i="23"/>
  <c r="Q25" i="23"/>
  <c r="Q27" i="23"/>
  <c r="Q28" i="23"/>
  <c r="BX41" i="23"/>
  <c r="BL42" i="23"/>
  <c r="BL44" i="23"/>
  <c r="R24" i="23"/>
  <c r="BX43" i="23"/>
  <c r="R25" i="23"/>
  <c r="R26" i="23"/>
  <c r="BY41" i="23"/>
  <c r="R28" i="23"/>
  <c r="BY43" i="23"/>
  <c r="BM42" i="23"/>
  <c r="BM44" i="23"/>
  <c r="R27" i="23"/>
  <c r="S24" i="23"/>
  <c r="S26" i="23"/>
  <c r="S25" i="23"/>
  <c r="S27" i="23"/>
  <c r="S28" i="23"/>
  <c r="BZ41" i="23"/>
  <c r="BN42" i="23"/>
  <c r="BN44" i="23"/>
  <c r="T24" i="23"/>
  <c r="BZ43" i="23"/>
  <c r="T25" i="23"/>
  <c r="T26" i="23"/>
  <c r="CA41" i="23"/>
  <c r="BO42" i="23"/>
  <c r="BO44" i="23"/>
  <c r="T27" i="23"/>
  <c r="T28" i="23"/>
  <c r="U24" i="23"/>
  <c r="CA43" i="23"/>
  <c r="U25" i="23"/>
  <c r="U26" i="23"/>
  <c r="CB41" i="23"/>
  <c r="U27" i="23"/>
  <c r="U28" i="23"/>
  <c r="V24" i="23"/>
  <c r="CB43" i="23"/>
  <c r="BP42" i="23"/>
  <c r="BP44" i="23"/>
  <c r="V26" i="23"/>
  <c r="CC41" i="23"/>
  <c r="V25" i="23"/>
  <c r="V27" i="23"/>
  <c r="V28" i="23"/>
  <c r="BQ42" i="23"/>
  <c r="BQ44" i="23"/>
  <c r="W24" i="23"/>
  <c r="CC43" i="23"/>
  <c r="W26" i="23"/>
  <c r="CD41" i="23"/>
  <c r="W25" i="23"/>
  <c r="W28" i="23"/>
  <c r="W27" i="23"/>
  <c r="X24" i="23"/>
  <c r="CD43" i="23"/>
  <c r="BR42" i="23"/>
  <c r="BR44" i="23"/>
  <c r="X26" i="23"/>
  <c r="X25" i="23"/>
  <c r="X28" i="23"/>
  <c r="Y24" i="23"/>
  <c r="CE41" i="23"/>
  <c r="X27" i="23"/>
  <c r="CE43" i="23"/>
  <c r="BS42" i="23"/>
  <c r="BS44" i="23"/>
  <c r="Y25" i="23"/>
  <c r="Y26" i="23"/>
  <c r="CF41" i="23"/>
  <c r="Y28" i="23"/>
  <c r="BT42" i="23"/>
  <c r="Y27" i="23"/>
  <c r="Z24" i="23"/>
  <c r="CF43" i="23"/>
  <c r="BT44" i="23"/>
  <c r="Z25" i="23"/>
  <c r="Z26" i="23"/>
  <c r="CG41" i="23"/>
  <c r="Z27" i="23"/>
  <c r="AA27" i="23"/>
  <c r="AG11" i="23"/>
  <c r="AA25" i="23"/>
  <c r="AG9" i="23"/>
  <c r="AI21" i="14"/>
  <c r="BU42" i="23"/>
  <c r="AA26" i="23"/>
  <c r="Z28" i="23"/>
  <c r="AG10" i="23"/>
  <c r="AH46" i="15"/>
  <c r="AH45" i="15"/>
  <c r="AA28" i="23"/>
  <c r="B49" i="23"/>
  <c r="CG43" i="23"/>
  <c r="N49" i="23"/>
  <c r="AH8" i="23"/>
  <c r="B51" i="23"/>
  <c r="B50" i="23"/>
  <c r="AG12" i="23"/>
  <c r="AI76" i="16"/>
  <c r="AF42" i="23"/>
  <c r="AH41" i="16"/>
  <c r="BU44" i="23"/>
  <c r="AF44" i="23"/>
  <c r="AH49" i="16"/>
  <c r="AH50" i="16"/>
  <c r="B53" i="23"/>
  <c r="CH41" i="23"/>
  <c r="B52" i="23"/>
  <c r="AH75" i="16"/>
  <c r="BV42" i="23"/>
  <c r="BV44" i="23"/>
  <c r="C49" i="23"/>
  <c r="CH43" i="23"/>
  <c r="D50" i="23"/>
  <c r="C50" i="23"/>
  <c r="C51" i="23"/>
  <c r="CI41" i="23"/>
  <c r="E50" i="23"/>
  <c r="BW42" i="23"/>
  <c r="BW44" i="23"/>
  <c r="C52" i="23"/>
  <c r="C53" i="23"/>
  <c r="F50" i="23"/>
  <c r="I26" i="8"/>
  <c r="I41" i="8"/>
  <c r="D49" i="23"/>
  <c r="CI43" i="23"/>
  <c r="CI42" i="23"/>
  <c r="CI44" i="23"/>
  <c r="G50" i="23"/>
  <c r="G36" i="15"/>
  <c r="H20" i="14"/>
  <c r="D51" i="23"/>
  <c r="H50" i="23"/>
  <c r="AC25" i="15"/>
  <c r="O25" i="15"/>
  <c r="E10" i="10"/>
  <c r="S2" i="10"/>
  <c r="P9" i="10"/>
  <c r="D47" i="9"/>
  <c r="B11" i="11"/>
  <c r="E23" i="16"/>
  <c r="E25" i="15"/>
  <c r="F23" i="16"/>
  <c r="CJ41" i="23"/>
  <c r="D52" i="23"/>
  <c r="D53" i="23"/>
  <c r="I50" i="23"/>
  <c r="M6" i="21"/>
  <c r="Z6" i="21"/>
  <c r="AJ6" i="21"/>
  <c r="B13" i="11"/>
  <c r="R9" i="10"/>
  <c r="R19" i="10"/>
  <c r="D55" i="9"/>
  <c r="E15" i="10"/>
  <c r="E37" i="10"/>
  <c r="E49" i="23"/>
  <c r="CJ43" i="23"/>
  <c r="BX42" i="23"/>
  <c r="BX44" i="23"/>
  <c r="J50" i="23"/>
  <c r="C11" i="11"/>
  <c r="C29" i="11"/>
  <c r="C10" i="11"/>
  <c r="C39" i="11"/>
  <c r="C26" i="11"/>
  <c r="H13" i="43"/>
  <c r="K13" i="43"/>
  <c r="C38" i="11"/>
  <c r="C20" i="11"/>
  <c r="C13" i="11"/>
  <c r="C36" i="11"/>
  <c r="C12" i="11"/>
  <c r="C28" i="11"/>
  <c r="P6" i="21"/>
  <c r="C37" i="11"/>
  <c r="C27" i="11"/>
  <c r="C19" i="11"/>
  <c r="C25" i="11"/>
  <c r="C16" i="11"/>
  <c r="C17" i="11"/>
  <c r="G23" i="16"/>
  <c r="F34" i="14"/>
  <c r="E17" i="15"/>
  <c r="E34" i="14"/>
  <c r="D17" i="15"/>
  <c r="C17" i="15"/>
  <c r="E32" i="10"/>
  <c r="E34" i="10"/>
  <c r="E39" i="10"/>
  <c r="E62" i="10"/>
  <c r="E64" i="10"/>
  <c r="E51" i="23"/>
  <c r="E53" i="23"/>
  <c r="CJ42" i="23"/>
  <c r="CJ44" i="23"/>
  <c r="K50" i="23"/>
  <c r="AC6" i="21"/>
  <c r="AM6" i="21"/>
  <c r="F7" i="21"/>
  <c r="S7" i="21"/>
  <c r="AF7" i="21"/>
  <c r="P22" i="7"/>
  <c r="D22" i="7"/>
  <c r="H23" i="16"/>
  <c r="F17" i="15"/>
  <c r="L41" i="8"/>
  <c r="L26" i="8"/>
  <c r="Q17" i="15"/>
  <c r="AD14" i="8"/>
  <c r="AF14" i="8"/>
  <c r="N41" i="8"/>
  <c r="N26" i="8"/>
  <c r="M26" i="8"/>
  <c r="M41" i="8"/>
  <c r="K41" i="8"/>
  <c r="K26" i="8"/>
  <c r="J41" i="8"/>
  <c r="J26" i="8"/>
  <c r="O41" i="8"/>
  <c r="O26" i="8"/>
  <c r="G17" i="15"/>
  <c r="D34" i="14"/>
  <c r="P41" i="8"/>
  <c r="P26" i="8"/>
  <c r="Q14" i="8"/>
  <c r="AG14" i="8"/>
  <c r="AF23" i="8"/>
  <c r="F49" i="23"/>
  <c r="F51" i="23"/>
  <c r="CK43" i="23"/>
  <c r="CK42" i="23"/>
  <c r="CK44" i="23"/>
  <c r="CK41" i="23"/>
  <c r="E52" i="23"/>
  <c r="N50" i="23"/>
  <c r="AH9" i="23"/>
  <c r="AJ21" i="14"/>
  <c r="AI45" i="15"/>
  <c r="D24" i="7"/>
  <c r="C18" i="15"/>
  <c r="C19" i="15"/>
  <c r="D81" i="16"/>
  <c r="D84" i="16"/>
  <c r="D87" i="16"/>
  <c r="D27" i="16"/>
  <c r="D28" i="16"/>
  <c r="AE14" i="8"/>
  <c r="AE23" i="8"/>
  <c r="I22" i="7"/>
  <c r="G22" i="7"/>
  <c r="E22" i="7"/>
  <c r="F22" i="7"/>
  <c r="H22" i="7"/>
  <c r="I23" i="16"/>
  <c r="Q23" i="8"/>
  <c r="I20" i="14"/>
  <c r="H36" i="15"/>
  <c r="O20" i="14"/>
  <c r="N36" i="15"/>
  <c r="K36" i="15"/>
  <c r="L20" i="14"/>
  <c r="L36" i="15"/>
  <c r="M20" i="14"/>
  <c r="J36" i="15"/>
  <c r="K20" i="14"/>
  <c r="H34" i="14"/>
  <c r="H12" i="14"/>
  <c r="J20" i="14"/>
  <c r="I36" i="15"/>
  <c r="R12" i="14"/>
  <c r="G41" i="8"/>
  <c r="G26" i="8"/>
  <c r="N20" i="14"/>
  <c r="M36" i="15"/>
  <c r="AD23" i="8"/>
  <c r="G34" i="14"/>
  <c r="G12" i="14"/>
  <c r="AH14" i="8"/>
  <c r="AG23" i="8"/>
  <c r="BY42" i="23"/>
  <c r="BY44" i="23"/>
  <c r="F53" i="23"/>
  <c r="CL41" i="23"/>
  <c r="BZ42" i="23"/>
  <c r="BZ44" i="23"/>
  <c r="F52" i="23"/>
  <c r="C35" i="15"/>
  <c r="D17" i="14"/>
  <c r="D18" i="14"/>
  <c r="D22" i="14"/>
  <c r="E81" i="16"/>
  <c r="E84" i="16"/>
  <c r="E87" i="16"/>
  <c r="E27" i="16"/>
  <c r="E28" i="16"/>
  <c r="E24" i="7"/>
  <c r="D18" i="15"/>
  <c r="G24" i="7"/>
  <c r="G81" i="16"/>
  <c r="G84" i="16"/>
  <c r="F18" i="15"/>
  <c r="H24" i="7"/>
  <c r="G18" i="15"/>
  <c r="H81" i="16"/>
  <c r="H84" i="16"/>
  <c r="I81" i="16"/>
  <c r="I84" i="16"/>
  <c r="H18" i="15"/>
  <c r="I24" i="7"/>
  <c r="F81" i="16"/>
  <c r="F84" i="16"/>
  <c r="F24" i="7"/>
  <c r="E18" i="15"/>
  <c r="J23" i="16"/>
  <c r="K23" i="16"/>
  <c r="L23" i="16"/>
  <c r="M23" i="16"/>
  <c r="N23" i="16"/>
  <c r="O23" i="16"/>
  <c r="P23" i="16"/>
  <c r="R15" i="14"/>
  <c r="R13" i="21"/>
  <c r="H15" i="14"/>
  <c r="H13" i="21"/>
  <c r="G15" i="14"/>
  <c r="G13" i="21"/>
  <c r="AE41" i="8"/>
  <c r="AE26" i="8"/>
  <c r="F20" i="14"/>
  <c r="E36" i="15"/>
  <c r="AC36" i="14"/>
  <c r="Q26" i="8"/>
  <c r="Q41" i="8"/>
  <c r="AI14" i="8"/>
  <c r="AH23" i="8"/>
  <c r="G49" i="23"/>
  <c r="CL43" i="23"/>
  <c r="CL42" i="23"/>
  <c r="CL44" i="23"/>
  <c r="F87" i="16"/>
  <c r="G87" i="16"/>
  <c r="G27" i="16"/>
  <c r="G28" i="16"/>
  <c r="D37" i="14"/>
  <c r="D40" i="14"/>
  <c r="I17" i="14"/>
  <c r="H35" i="15"/>
  <c r="G17" i="14"/>
  <c r="G18" i="14"/>
  <c r="G22" i="14"/>
  <c r="F35" i="15"/>
  <c r="H17" i="14"/>
  <c r="H18" i="14"/>
  <c r="H22" i="14"/>
  <c r="H40" i="14"/>
  <c r="G35" i="15"/>
  <c r="E35" i="15"/>
  <c r="F17" i="14"/>
  <c r="F18" i="14"/>
  <c r="F22" i="14"/>
  <c r="E17" i="14"/>
  <c r="E18" i="14"/>
  <c r="E22" i="14"/>
  <c r="D35" i="15"/>
  <c r="AD23" i="16"/>
  <c r="Q23" i="16"/>
  <c r="R23" i="16"/>
  <c r="S23" i="16"/>
  <c r="T23" i="16"/>
  <c r="U23" i="16"/>
  <c r="V23" i="16"/>
  <c r="W23" i="16"/>
  <c r="X23" i="16"/>
  <c r="Y23" i="16"/>
  <c r="Z23" i="16"/>
  <c r="AA23" i="16"/>
  <c r="AB23" i="16"/>
  <c r="AC23" i="16"/>
  <c r="AE23" i="16"/>
  <c r="AF23" i="16"/>
  <c r="AG23" i="16"/>
  <c r="AH23" i="16"/>
  <c r="AI23" i="16"/>
  <c r="AJ23" i="16"/>
  <c r="AK23" i="16"/>
  <c r="AL23" i="16"/>
  <c r="AM23" i="16"/>
  <c r="H17" i="15"/>
  <c r="O36" i="15"/>
  <c r="P20" i="14"/>
  <c r="AF43" i="8"/>
  <c r="G35" i="21"/>
  <c r="H35" i="21"/>
  <c r="R35" i="21"/>
  <c r="Y36" i="14"/>
  <c r="U36" i="14"/>
  <c r="AB36" i="14"/>
  <c r="V36" i="14"/>
  <c r="T36" i="14"/>
  <c r="W36" i="14"/>
  <c r="S36" i="14"/>
  <c r="X36" i="14"/>
  <c r="R36" i="14"/>
  <c r="Z36" i="14"/>
  <c r="AA36" i="14"/>
  <c r="AC36" i="15"/>
  <c r="AD20" i="14"/>
  <c r="AJ14" i="8"/>
  <c r="AI23" i="8"/>
  <c r="G51" i="23"/>
  <c r="G53" i="23"/>
  <c r="F27" i="16"/>
  <c r="F28" i="16"/>
  <c r="G37" i="14"/>
  <c r="G40" i="14"/>
  <c r="F40" i="14"/>
  <c r="F37" i="14"/>
  <c r="E37" i="14"/>
  <c r="E40" i="14"/>
  <c r="H37" i="14"/>
  <c r="H87" i="16"/>
  <c r="I12" i="14"/>
  <c r="I34" i="14"/>
  <c r="I17" i="15"/>
  <c r="AG43" i="8"/>
  <c r="AF12" i="14"/>
  <c r="AK14" i="8"/>
  <c r="AJ23" i="8"/>
  <c r="H49" i="23"/>
  <c r="CM43" i="23"/>
  <c r="CM42" i="23"/>
  <c r="CM44" i="23"/>
  <c r="CM41" i="23"/>
  <c r="CA42" i="23"/>
  <c r="CA44" i="23"/>
  <c r="G52" i="23"/>
  <c r="H27" i="16"/>
  <c r="H28" i="16"/>
  <c r="I87" i="16"/>
  <c r="I27" i="16"/>
  <c r="I28" i="16"/>
  <c r="L34" i="14"/>
  <c r="K17" i="15"/>
  <c r="J17" i="15"/>
  <c r="J12" i="14"/>
  <c r="J34" i="14"/>
  <c r="I15" i="14"/>
  <c r="I18" i="14"/>
  <c r="I22" i="14"/>
  <c r="I13" i="21"/>
  <c r="I35" i="21"/>
  <c r="AG12" i="14"/>
  <c r="AH43" i="8"/>
  <c r="E6" i="22"/>
  <c r="AF13" i="21"/>
  <c r="AF15" i="14"/>
  <c r="E10" i="22"/>
  <c r="E11" i="22"/>
  <c r="E8" i="22"/>
  <c r="E12" i="22"/>
  <c r="E9" i="22"/>
  <c r="E13" i="22"/>
  <c r="AL14" i="8"/>
  <c r="AK23" i="8"/>
  <c r="H51" i="23"/>
  <c r="H53" i="23"/>
  <c r="E14" i="22"/>
  <c r="L12" i="14"/>
  <c r="L15" i="14"/>
  <c r="M12" i="14"/>
  <c r="L17" i="15"/>
  <c r="J15" i="14"/>
  <c r="J13" i="21"/>
  <c r="J35" i="21"/>
  <c r="K12" i="14"/>
  <c r="K34" i="14"/>
  <c r="I40" i="14"/>
  <c r="I37" i="14"/>
  <c r="E35" i="22"/>
  <c r="E16" i="22"/>
  <c r="E32" i="22"/>
  <c r="E7" i="22"/>
  <c r="E31" i="22"/>
  <c r="E30" i="22"/>
  <c r="E34" i="22"/>
  <c r="E28" i="22"/>
  <c r="E33" i="22"/>
  <c r="E29" i="22"/>
  <c r="E36" i="22"/>
  <c r="E15" i="22"/>
  <c r="E19" i="22"/>
  <c r="E38" i="22"/>
  <c r="AH12" i="14"/>
  <c r="AG13" i="21"/>
  <c r="F6" i="22"/>
  <c r="AG15" i="14"/>
  <c r="AF35" i="21"/>
  <c r="AI43" i="8"/>
  <c r="F9" i="22"/>
  <c r="F13" i="22"/>
  <c r="F10" i="22"/>
  <c r="F11" i="22"/>
  <c r="F8" i="22"/>
  <c r="F12" i="22"/>
  <c r="AM14" i="8"/>
  <c r="AL23" i="8"/>
  <c r="I49" i="23"/>
  <c r="I51" i="23"/>
  <c r="CN43" i="23"/>
  <c r="CN41" i="23"/>
  <c r="CB42" i="23"/>
  <c r="CB44" i="23"/>
  <c r="H52" i="23"/>
  <c r="F14" i="22"/>
  <c r="L13" i="21"/>
  <c r="L35" i="21"/>
  <c r="M34" i="14"/>
  <c r="M17" i="15"/>
  <c r="N12" i="14"/>
  <c r="K13" i="21"/>
  <c r="K35" i="21"/>
  <c r="K15" i="14"/>
  <c r="AI12" i="14"/>
  <c r="AJ43" i="8"/>
  <c r="M13" i="21"/>
  <c r="M15" i="14"/>
  <c r="AG35" i="21"/>
  <c r="G6" i="22"/>
  <c r="AH13" i="21"/>
  <c r="AH35" i="21"/>
  <c r="AH15" i="14"/>
  <c r="F35" i="22"/>
  <c r="F29" i="22"/>
  <c r="F30" i="22"/>
  <c r="F16" i="22"/>
  <c r="F28" i="22"/>
  <c r="F15" i="22"/>
  <c r="F36" i="22"/>
  <c r="F31" i="22"/>
  <c r="F33" i="22"/>
  <c r="F7" i="22"/>
  <c r="F34" i="22"/>
  <c r="F32" i="22"/>
  <c r="F38" i="22"/>
  <c r="F19" i="22"/>
  <c r="G8" i="22"/>
  <c r="G12" i="22"/>
  <c r="G13" i="22"/>
  <c r="G10" i="22"/>
  <c r="G11" i="22"/>
  <c r="G9" i="22"/>
  <c r="AN14" i="8"/>
  <c r="AN23" i="8"/>
  <c r="AM23" i="8"/>
  <c r="CN42" i="23"/>
  <c r="CN44" i="23"/>
  <c r="I53" i="23"/>
  <c r="CO41" i="23"/>
  <c r="CC42" i="23"/>
  <c r="CC44" i="23"/>
  <c r="I52" i="23"/>
  <c r="G14" i="22"/>
  <c r="N34" i="14"/>
  <c r="G34" i="22"/>
  <c r="G28" i="22"/>
  <c r="G33" i="22"/>
  <c r="G36" i="22"/>
  <c r="G30" i="22"/>
  <c r="G31" i="22"/>
  <c r="G35" i="22"/>
  <c r="G15" i="22"/>
  <c r="G29" i="22"/>
  <c r="G32" i="22"/>
  <c r="G16" i="22"/>
  <c r="G7" i="22"/>
  <c r="G38" i="22"/>
  <c r="G19" i="22"/>
  <c r="AK43" i="8"/>
  <c r="AJ12" i="14"/>
  <c r="N13" i="21"/>
  <c r="N15" i="14"/>
  <c r="M35" i="21"/>
  <c r="H6" i="22"/>
  <c r="AI15" i="14"/>
  <c r="AI13" i="21"/>
  <c r="AI35" i="21"/>
  <c r="H11" i="22"/>
  <c r="H8" i="22"/>
  <c r="H9" i="22"/>
  <c r="H13" i="22"/>
  <c r="H10" i="22"/>
  <c r="H12" i="22"/>
  <c r="J49" i="23"/>
  <c r="CO43" i="23"/>
  <c r="H14" i="22"/>
  <c r="H28" i="22"/>
  <c r="H30" i="22"/>
  <c r="H33" i="22"/>
  <c r="H36" i="22"/>
  <c r="H34" i="22"/>
  <c r="H7" i="22"/>
  <c r="H16" i="22"/>
  <c r="H32" i="22"/>
  <c r="H29" i="22"/>
  <c r="H15" i="22"/>
  <c r="H35" i="22"/>
  <c r="H38" i="22"/>
  <c r="H19" i="22"/>
  <c r="N17" i="15"/>
  <c r="O17" i="15"/>
  <c r="AK12" i="14"/>
  <c r="N35" i="21"/>
  <c r="I6" i="22"/>
  <c r="AJ13" i="21"/>
  <c r="AJ15" i="14"/>
  <c r="P17" i="15"/>
  <c r="AB17" i="15"/>
  <c r="AL43" i="8"/>
  <c r="I10" i="22"/>
  <c r="I8" i="22"/>
  <c r="I12" i="22"/>
  <c r="I9" i="22"/>
  <c r="I13" i="22"/>
  <c r="I11" i="22"/>
  <c r="CO42" i="23"/>
  <c r="CO44" i="23"/>
  <c r="J51" i="23"/>
  <c r="J53" i="23"/>
  <c r="I14" i="22"/>
  <c r="AN43" i="8"/>
  <c r="AE24" i="5"/>
  <c r="AF24" i="5"/>
  <c r="I30" i="22"/>
  <c r="I32" i="22"/>
  <c r="I15" i="22"/>
  <c r="I28" i="22"/>
  <c r="I19" i="22"/>
  <c r="I34" i="22"/>
  <c r="I33" i="22"/>
  <c r="I16" i="22"/>
  <c r="I7" i="22"/>
  <c r="I29" i="22"/>
  <c r="I36" i="22"/>
  <c r="I35" i="22"/>
  <c r="Q12" i="14"/>
  <c r="Q34" i="14"/>
  <c r="Q36" i="14"/>
  <c r="AK13" i="21"/>
  <c r="AK15" i="14"/>
  <c r="J6" i="22"/>
  <c r="AD24" i="5"/>
  <c r="AL12" i="14"/>
  <c r="AD34" i="14"/>
  <c r="AD36" i="14"/>
  <c r="AD12" i="14"/>
  <c r="O12" i="14"/>
  <c r="O34" i="14"/>
  <c r="AJ35" i="21"/>
  <c r="AM43" i="8"/>
  <c r="J9" i="22"/>
  <c r="J13" i="22"/>
  <c r="J11" i="22"/>
  <c r="J8" i="22"/>
  <c r="J12" i="22"/>
  <c r="J10" i="22"/>
  <c r="K49" i="23"/>
  <c r="CP43" i="23"/>
  <c r="CP41" i="23"/>
  <c r="CD42" i="23"/>
  <c r="CD44" i="23"/>
  <c r="J52" i="23"/>
  <c r="J14" i="22"/>
  <c r="AC12" i="14"/>
  <c r="AC13" i="21"/>
  <c r="K6" i="22"/>
  <c r="AL13" i="21"/>
  <c r="O13" i="21"/>
  <c r="O15" i="14"/>
  <c r="AK35" i="21"/>
  <c r="AM12" i="14"/>
  <c r="Q13" i="21"/>
  <c r="Q15" i="14"/>
  <c r="P34" i="14"/>
  <c r="P36" i="14"/>
  <c r="P12" i="14"/>
  <c r="AD13" i="21"/>
  <c r="C6" i="22"/>
  <c r="AD15" i="14"/>
  <c r="J38" i="22"/>
  <c r="J30" i="22"/>
  <c r="J34" i="22"/>
  <c r="J16" i="22"/>
  <c r="J29" i="22"/>
  <c r="J28" i="22"/>
  <c r="J7" i="22"/>
  <c r="J19" i="22"/>
  <c r="J36" i="22"/>
  <c r="J32" i="22"/>
  <c r="J35" i="22"/>
  <c r="J31" i="22"/>
  <c r="J33" i="22"/>
  <c r="J15" i="22"/>
  <c r="L16" i="43"/>
  <c r="C11" i="22"/>
  <c r="C10" i="22"/>
  <c r="C13" i="22"/>
  <c r="C12" i="22"/>
  <c r="K12" i="22"/>
  <c r="K9" i="22"/>
  <c r="K10" i="22"/>
  <c r="K11" i="22"/>
  <c r="K13" i="22"/>
  <c r="CP42" i="23"/>
  <c r="CP44" i="23"/>
  <c r="K51" i="23"/>
  <c r="K53" i="23"/>
  <c r="CQ43" i="23"/>
  <c r="CQ42" i="23"/>
  <c r="CQ44" i="23"/>
  <c r="C14" i="22"/>
  <c r="C9" i="22"/>
  <c r="K14" i="22"/>
  <c r="C27" i="22"/>
  <c r="L24" i="43"/>
  <c r="AC15" i="14"/>
  <c r="AE34" i="14"/>
  <c r="AE36" i="14"/>
  <c r="AE12" i="14"/>
  <c r="Q35" i="21"/>
  <c r="G36" i="14"/>
  <c r="E36" i="14"/>
  <c r="H36" i="14"/>
  <c r="O36" i="14"/>
  <c r="M36" i="14"/>
  <c r="F36" i="14"/>
  <c r="L36" i="14"/>
  <c r="I36" i="14"/>
  <c r="D36" i="14"/>
  <c r="K36" i="14"/>
  <c r="N36" i="14"/>
  <c r="J36" i="14"/>
  <c r="K29" i="22"/>
  <c r="K34" i="22"/>
  <c r="K36" i="22"/>
  <c r="K28" i="22"/>
  <c r="K33" i="22"/>
  <c r="K30" i="22"/>
  <c r="K38" i="22"/>
  <c r="K15" i="22"/>
  <c r="K35" i="22"/>
  <c r="K32" i="22"/>
  <c r="K31" i="22"/>
  <c r="K19" i="22"/>
  <c r="P13" i="21"/>
  <c r="P15" i="14"/>
  <c r="C28" i="22"/>
  <c r="C29" i="22"/>
  <c r="C30" i="22"/>
  <c r="C34" i="22"/>
  <c r="C41" i="22"/>
  <c r="C32" i="22"/>
  <c r="C36" i="22"/>
  <c r="C31" i="22"/>
  <c r="C35" i="22"/>
  <c r="C40" i="22"/>
  <c r="C33" i="22"/>
  <c r="C8" i="22"/>
  <c r="C7" i="22"/>
  <c r="L19" i="43"/>
  <c r="C15" i="22"/>
  <c r="M22" i="43"/>
  <c r="C16" i="22"/>
  <c r="M21" i="43"/>
  <c r="C19" i="22"/>
  <c r="L25" i="43"/>
  <c r="C38" i="22"/>
  <c r="C18" i="22"/>
  <c r="M23" i="43"/>
  <c r="AM13" i="21"/>
  <c r="L6" i="22"/>
  <c r="AD35" i="21"/>
  <c r="AC35" i="21"/>
  <c r="O35" i="21"/>
  <c r="AL35" i="21"/>
  <c r="L11" i="22"/>
  <c r="L12" i="22"/>
  <c r="L9" i="22"/>
  <c r="L13" i="22"/>
  <c r="L10" i="22"/>
  <c r="L20" i="43"/>
  <c r="N51" i="23"/>
  <c r="AH10" i="23"/>
  <c r="CQ41" i="23"/>
  <c r="CG42" i="23"/>
  <c r="K52" i="23"/>
  <c r="N52" i="23"/>
  <c r="AH11" i="23"/>
  <c r="L23" i="43"/>
  <c r="L21" i="43"/>
  <c r="L22" i="43"/>
  <c r="L14" i="22"/>
  <c r="AE13" i="21"/>
  <c r="AE35" i="21"/>
  <c r="D6" i="22"/>
  <c r="AE15" i="14"/>
  <c r="AM35" i="21"/>
  <c r="L29" i="22"/>
  <c r="L36" i="22"/>
  <c r="L34" i="22"/>
  <c r="L38" i="22"/>
  <c r="L32" i="22"/>
  <c r="L30" i="22"/>
  <c r="L19" i="22"/>
  <c r="L33" i="22"/>
  <c r="L28" i="22"/>
  <c r="L15" i="22"/>
  <c r="L31" i="22"/>
  <c r="L35" i="22"/>
  <c r="P35" i="21"/>
  <c r="D11" i="22"/>
  <c r="D12" i="22"/>
  <c r="D9" i="22"/>
  <c r="D13" i="22"/>
  <c r="D10" i="22"/>
  <c r="D8" i="22"/>
  <c r="CG44" i="23"/>
  <c r="AG44" i="23"/>
  <c r="AI49" i="16"/>
  <c r="AI50" i="16"/>
  <c r="AG42" i="23"/>
  <c r="AI41" i="16"/>
  <c r="CH42" i="23"/>
  <c r="CH44" i="23"/>
  <c r="CF42" i="23"/>
  <c r="CF44" i="23"/>
  <c r="CE42" i="23"/>
  <c r="CE44" i="23"/>
  <c r="AI46" i="15"/>
  <c r="I38" i="22"/>
  <c r="M16" i="43"/>
  <c r="M24" i="43"/>
  <c r="D14" i="22"/>
  <c r="D34" i="22"/>
  <c r="D32" i="22"/>
  <c r="D38" i="22"/>
  <c r="D31" i="22"/>
  <c r="D7" i="22"/>
  <c r="M19" i="43"/>
  <c r="D29" i="22"/>
  <c r="D19" i="22"/>
  <c r="M25" i="43"/>
  <c r="D36" i="22"/>
  <c r="D35" i="22"/>
  <c r="D16" i="22"/>
  <c r="D15" i="22"/>
  <c r="D33" i="22"/>
  <c r="D30" i="22"/>
  <c r="D28" i="22"/>
  <c r="AI75" i="16"/>
  <c r="M20" i="43"/>
  <c r="D35" i="16"/>
  <c r="N23" i="7"/>
  <c r="N82" i="16"/>
  <c r="N85" i="16"/>
  <c r="P81" i="16"/>
  <c r="P84" i="16"/>
  <c r="M23" i="7"/>
  <c r="M82" i="16"/>
  <c r="M85" i="16"/>
  <c r="L23" i="7"/>
  <c r="L82" i="16"/>
  <c r="L85" i="16"/>
  <c r="K23" i="7"/>
  <c r="K82" i="16"/>
  <c r="K85" i="16"/>
  <c r="L22" i="7"/>
  <c r="L81" i="16"/>
  <c r="L84" i="16"/>
  <c r="O23" i="7"/>
  <c r="O82" i="16"/>
  <c r="O85" i="16"/>
  <c r="P24" i="7"/>
  <c r="P17" i="14"/>
  <c r="P18" i="14"/>
  <c r="P22" i="14"/>
  <c r="AD22" i="7"/>
  <c r="P82" i="16"/>
  <c r="P85" i="16"/>
  <c r="M22" i="7"/>
  <c r="K22" i="7"/>
  <c r="J23" i="7"/>
  <c r="J82" i="16"/>
  <c r="J85" i="16"/>
  <c r="J88" i="16"/>
  <c r="J34" i="16"/>
  <c r="J35" i="16"/>
  <c r="AD23" i="7"/>
  <c r="AD82" i="16"/>
  <c r="AD85" i="16"/>
  <c r="O22" i="7"/>
  <c r="J22" i="7"/>
  <c r="N22" i="7"/>
  <c r="N81" i="16"/>
  <c r="N84" i="16"/>
  <c r="E47" i="43"/>
  <c r="J18" i="15"/>
  <c r="K81" i="16"/>
  <c r="K84" i="16"/>
  <c r="L24" i="7"/>
  <c r="K35" i="15"/>
  <c r="L18" i="15"/>
  <c r="M81" i="16"/>
  <c r="M84" i="16"/>
  <c r="M24" i="7"/>
  <c r="AD24" i="7"/>
  <c r="N18" i="15"/>
  <c r="O24" i="7"/>
  <c r="O81" i="16"/>
  <c r="O84" i="16"/>
  <c r="P41" i="14"/>
  <c r="K88" i="16"/>
  <c r="K34" i="16"/>
  <c r="K35" i="16"/>
  <c r="M18" i="15"/>
  <c r="N24" i="7"/>
  <c r="J24" i="7"/>
  <c r="J81" i="16"/>
  <c r="J84" i="16"/>
  <c r="J87" i="16"/>
  <c r="I18" i="15"/>
  <c r="P25" i="14"/>
  <c r="AD81" i="16"/>
  <c r="AD84" i="16"/>
  <c r="K24" i="7"/>
  <c r="K18" i="15"/>
  <c r="O35" i="15"/>
  <c r="L17" i="14"/>
  <c r="L18" i="14"/>
  <c r="L22" i="14"/>
  <c r="L37" i="14"/>
  <c r="O18" i="15"/>
  <c r="AC18" i="15"/>
  <c r="P33" i="14"/>
  <c r="N35" i="15"/>
  <c r="O17" i="14"/>
  <c r="O18" i="14"/>
  <c r="O22" i="14"/>
  <c r="S48" i="15"/>
  <c r="O25" i="14"/>
  <c r="J27" i="16"/>
  <c r="J28" i="16"/>
  <c r="K87" i="16"/>
  <c r="AD27" i="7"/>
  <c r="AC35" i="15"/>
  <c r="AD17" i="14"/>
  <c r="O30" i="7"/>
  <c r="P30" i="7"/>
  <c r="J17" i="14"/>
  <c r="J18" i="14"/>
  <c r="J22" i="14"/>
  <c r="I35" i="15"/>
  <c r="L88" i="16"/>
  <c r="L35" i="15"/>
  <c r="M17" i="14"/>
  <c r="M18" i="14"/>
  <c r="M22" i="14"/>
  <c r="K17" i="14"/>
  <c r="K18" i="14"/>
  <c r="K22" i="14"/>
  <c r="J35" i="15"/>
  <c r="M35" i="15"/>
  <c r="N17" i="14"/>
  <c r="N18" i="14"/>
  <c r="N22" i="14"/>
  <c r="O47" i="15"/>
  <c r="O52" i="15"/>
  <c r="L40" i="14"/>
  <c r="AB48" i="15"/>
  <c r="J40" i="14"/>
  <c r="J37" i="14"/>
  <c r="C17" i="22"/>
  <c r="AD18" i="14"/>
  <c r="AD22" i="14"/>
  <c r="P31" i="14"/>
  <c r="O37" i="14"/>
  <c r="O40" i="14"/>
  <c r="L34" i="16"/>
  <c r="L35" i="16"/>
  <c r="M88" i="16"/>
  <c r="M37" i="14"/>
  <c r="M40" i="14"/>
  <c r="N37" i="14"/>
  <c r="N40" i="14"/>
  <c r="K40" i="14"/>
  <c r="K37" i="14"/>
  <c r="K27" i="16"/>
  <c r="K28" i="16"/>
  <c r="L87" i="16"/>
  <c r="C20" i="22"/>
  <c r="AD24" i="14"/>
  <c r="AD25" i="14"/>
  <c r="P40" i="14"/>
  <c r="O42" i="14"/>
  <c r="O24" i="14"/>
  <c r="N47" i="15"/>
  <c r="N52" i="15"/>
  <c r="M34" i="16"/>
  <c r="M35" i="16"/>
  <c r="N88" i="16"/>
  <c r="L27" i="16"/>
  <c r="L28" i="16"/>
  <c r="M87" i="16"/>
  <c r="P37" i="14"/>
  <c r="AD42" i="16"/>
  <c r="O42" i="16"/>
  <c r="P42" i="16"/>
  <c r="AD36" i="21"/>
  <c r="O33" i="14"/>
  <c r="K42" i="14"/>
  <c r="K24" i="14"/>
  <c r="M42" i="14"/>
  <c r="M24" i="14"/>
  <c r="N42" i="14"/>
  <c r="N24" i="14"/>
  <c r="AD33" i="14"/>
  <c r="N34" i="16"/>
  <c r="N35" i="16"/>
  <c r="O88" i="16"/>
  <c r="J42" i="14"/>
  <c r="J24" i="14"/>
  <c r="C21" i="22"/>
  <c r="AC47" i="15"/>
  <c r="E42" i="14"/>
  <c r="E24" i="14"/>
  <c r="D42" i="14"/>
  <c r="D24" i="14"/>
  <c r="G42" i="14"/>
  <c r="G24" i="14"/>
  <c r="H42" i="14"/>
  <c r="H24" i="14"/>
  <c r="F42" i="14"/>
  <c r="F24" i="14"/>
  <c r="I42" i="14"/>
  <c r="I24" i="14"/>
  <c r="L42" i="14"/>
  <c r="L24" i="14"/>
  <c r="AD48" i="15"/>
  <c r="C22" i="22"/>
  <c r="M27" i="16"/>
  <c r="M28" i="16"/>
  <c r="N87" i="16"/>
  <c r="Q42" i="16"/>
  <c r="R42" i="16"/>
  <c r="C47" i="15"/>
  <c r="C52" i="15"/>
  <c r="C54" i="15"/>
  <c r="D17" i="44"/>
  <c r="D21" i="44"/>
  <c r="D28" i="14"/>
  <c r="D16" i="44"/>
  <c r="D33" i="14"/>
  <c r="F33" i="14"/>
  <c r="E47" i="15"/>
  <c r="E52" i="15"/>
  <c r="F28" i="14"/>
  <c r="F16" i="44"/>
  <c r="D47" i="15"/>
  <c r="D52" i="15"/>
  <c r="E28" i="14"/>
  <c r="E16" i="44"/>
  <c r="E33" i="14"/>
  <c r="P30" i="14"/>
  <c r="L47" i="15"/>
  <c r="L52" i="15"/>
  <c r="M28" i="14"/>
  <c r="M16" i="44"/>
  <c r="M33" i="14"/>
  <c r="G47" i="15"/>
  <c r="G52" i="15"/>
  <c r="H33" i="14"/>
  <c r="H28" i="14"/>
  <c r="H16" i="44"/>
  <c r="M47" i="15"/>
  <c r="M52" i="15"/>
  <c r="N33" i="14"/>
  <c r="N28" i="14"/>
  <c r="N16" i="44"/>
  <c r="J47" i="15"/>
  <c r="J52" i="15"/>
  <c r="K28" i="14"/>
  <c r="K16" i="44"/>
  <c r="K33" i="14"/>
  <c r="K47" i="15"/>
  <c r="K52" i="15"/>
  <c r="L28" i="14"/>
  <c r="L16" i="44"/>
  <c r="L33" i="14"/>
  <c r="F47" i="15"/>
  <c r="F52" i="15"/>
  <c r="G28" i="14"/>
  <c r="G16" i="44"/>
  <c r="G33" i="14"/>
  <c r="H47" i="15"/>
  <c r="H52" i="15"/>
  <c r="I33" i="14"/>
  <c r="I28" i="14"/>
  <c r="I16" i="44"/>
  <c r="P42" i="14"/>
  <c r="P24" i="14"/>
  <c r="J28" i="14"/>
  <c r="J16" i="44"/>
  <c r="J33" i="14"/>
  <c r="I47" i="15"/>
  <c r="I52" i="15"/>
  <c r="N27" i="16"/>
  <c r="N28" i="16"/>
  <c r="O87" i="16"/>
  <c r="C39" i="22"/>
  <c r="O34" i="16"/>
  <c r="O35" i="16"/>
  <c r="P88" i="16"/>
  <c r="D40" i="22"/>
  <c r="S42" i="16"/>
  <c r="D18" i="44"/>
  <c r="D14" i="21"/>
  <c r="D56" i="16"/>
  <c r="D15" i="21"/>
  <c r="D12" i="15"/>
  <c r="D19" i="15"/>
  <c r="D54" i="15"/>
  <c r="E17" i="44"/>
  <c r="E21" i="44"/>
  <c r="D13" i="16"/>
  <c r="D19" i="16"/>
  <c r="I56" i="16"/>
  <c r="I14" i="21"/>
  <c r="G56" i="16"/>
  <c r="G14" i="21"/>
  <c r="N56" i="16"/>
  <c r="N14" i="21"/>
  <c r="F56" i="16"/>
  <c r="F14" i="21"/>
  <c r="J56" i="16"/>
  <c r="J14" i="21"/>
  <c r="K14" i="21"/>
  <c r="K56" i="16"/>
  <c r="L56" i="16"/>
  <c r="L14" i="21"/>
  <c r="H56" i="16"/>
  <c r="H14" i="21"/>
  <c r="M56" i="16"/>
  <c r="M14" i="21"/>
  <c r="E56" i="16"/>
  <c r="E14" i="21"/>
  <c r="AD88" i="16"/>
  <c r="AD34" i="16"/>
  <c r="AD35" i="16"/>
  <c r="P34" i="16"/>
  <c r="O27" i="16"/>
  <c r="O28" i="16"/>
  <c r="P87" i="16"/>
  <c r="E18" i="44"/>
  <c r="E13" i="16"/>
  <c r="E19" i="16"/>
  <c r="E37" i="16"/>
  <c r="E18" i="21"/>
  <c r="E15" i="21"/>
  <c r="E12" i="15"/>
  <c r="E19" i="15"/>
  <c r="E54" i="15"/>
  <c r="F17" i="44"/>
  <c r="F21" i="44"/>
  <c r="D23" i="21"/>
  <c r="D37" i="16"/>
  <c r="E57" i="16"/>
  <c r="F57" i="16"/>
  <c r="G57" i="16"/>
  <c r="H57" i="16"/>
  <c r="I57" i="16"/>
  <c r="D59" i="16"/>
  <c r="D37" i="21"/>
  <c r="D26" i="21"/>
  <c r="F37" i="21"/>
  <c r="F26" i="21"/>
  <c r="E37" i="21"/>
  <c r="E26" i="21"/>
  <c r="I37" i="21"/>
  <c r="I26" i="21"/>
  <c r="M26" i="21"/>
  <c r="M37" i="21"/>
  <c r="H26" i="21"/>
  <c r="H37" i="21"/>
  <c r="K26" i="21"/>
  <c r="K37" i="21"/>
  <c r="N37" i="21"/>
  <c r="N26" i="21"/>
  <c r="G26" i="21"/>
  <c r="G37" i="21"/>
  <c r="L26" i="21"/>
  <c r="L37" i="21"/>
  <c r="J26" i="21"/>
  <c r="J37" i="21"/>
  <c r="U301" i="43"/>
  <c r="P35" i="16"/>
  <c r="P72" i="16"/>
  <c r="O72" i="16"/>
  <c r="P27" i="16"/>
  <c r="AD87" i="16"/>
  <c r="AD27" i="16"/>
  <c r="AD28" i="16"/>
  <c r="W301" i="43"/>
  <c r="F18" i="44"/>
  <c r="E23" i="21"/>
  <c r="E59" i="16"/>
  <c r="E20" i="21"/>
  <c r="E27" i="21"/>
  <c r="F15" i="21"/>
  <c r="D18" i="21"/>
  <c r="F13" i="16"/>
  <c r="F19" i="16"/>
  <c r="F37" i="16"/>
  <c r="F18" i="21"/>
  <c r="F34" i="21"/>
  <c r="D20" i="21"/>
  <c r="D27" i="21"/>
  <c r="D61" i="16"/>
  <c r="D19" i="44"/>
  <c r="F12" i="15"/>
  <c r="F59" i="16"/>
  <c r="F20" i="21"/>
  <c r="F27" i="21"/>
  <c r="J57" i="16"/>
  <c r="E28" i="21"/>
  <c r="N72" i="16"/>
  <c r="P28" i="16"/>
  <c r="P75" i="16"/>
  <c r="O75" i="16"/>
  <c r="AL17" i="42"/>
  <c r="L8" i="22"/>
  <c r="AK17" i="42"/>
  <c r="K8" i="22"/>
  <c r="F23" i="21"/>
  <c r="E61" i="16"/>
  <c r="E19" i="44"/>
  <c r="D63" i="16"/>
  <c r="D20" i="44"/>
  <c r="D21" i="21"/>
  <c r="D28" i="21"/>
  <c r="F61" i="16"/>
  <c r="F19" i="44"/>
  <c r="E21" i="21"/>
  <c r="K57" i="16"/>
  <c r="F28" i="21"/>
  <c r="F21" i="21"/>
  <c r="M72" i="16"/>
  <c r="N75" i="16"/>
  <c r="AK23" i="42"/>
  <c r="AL23" i="42"/>
  <c r="E63" i="16"/>
  <c r="E20" i="44"/>
  <c r="D65" i="16"/>
  <c r="D64" i="16"/>
  <c r="F63" i="16"/>
  <c r="F20" i="44"/>
  <c r="L57" i="16"/>
  <c r="L72" i="16"/>
  <c r="M75" i="16"/>
  <c r="R301" i="43"/>
  <c r="AL26" i="42"/>
  <c r="AL34" i="15"/>
  <c r="AM14" i="14"/>
  <c r="L7" i="22"/>
  <c r="AK26" i="42"/>
  <c r="AL14" i="14"/>
  <c r="AK34" i="15"/>
  <c r="K7" i="22"/>
  <c r="E64" i="16"/>
  <c r="E65" i="16"/>
  <c r="F65" i="16"/>
  <c r="F64" i="16"/>
  <c r="M57" i="16"/>
  <c r="L75" i="16"/>
  <c r="K72" i="16"/>
  <c r="AL15" i="14"/>
  <c r="K16" i="22"/>
  <c r="AM15" i="14"/>
  <c r="L16" i="22"/>
  <c r="N57" i="16"/>
  <c r="J72" i="16"/>
  <c r="T301" i="43"/>
  <c r="K75" i="16"/>
  <c r="O57" i="16"/>
  <c r="J75" i="16"/>
  <c r="I72" i="16"/>
  <c r="I75" i="16"/>
  <c r="H72" i="16"/>
  <c r="H75" i="16"/>
  <c r="G72" i="16"/>
  <c r="G75" i="16"/>
  <c r="F72" i="16"/>
  <c r="E72" i="16"/>
  <c r="F75" i="16"/>
  <c r="X301" i="43"/>
  <c r="V301" i="43"/>
  <c r="E75" i="16"/>
  <c r="D72" i="16"/>
  <c r="D73" i="16"/>
  <c r="E73" i="16"/>
  <c r="F73" i="16"/>
  <c r="G73" i="16"/>
  <c r="H73" i="16"/>
  <c r="I73" i="16"/>
  <c r="J73" i="16"/>
  <c r="K73" i="16"/>
  <c r="L73" i="16"/>
  <c r="M73" i="16"/>
  <c r="N73" i="16"/>
  <c r="O73" i="16"/>
  <c r="S301" i="43"/>
  <c r="D75" i="16"/>
  <c r="D76" i="16"/>
  <c r="E76" i="16"/>
  <c r="F76" i="16"/>
  <c r="G76" i="16"/>
  <c r="H76" i="16"/>
  <c r="I76" i="16"/>
  <c r="J76" i="16"/>
  <c r="K76" i="16"/>
  <c r="L76" i="16"/>
  <c r="M76" i="16"/>
  <c r="N76" i="16"/>
  <c r="O76" i="16"/>
  <c r="F19" i="15"/>
  <c r="F54" i="15"/>
  <c r="G55" i="16"/>
  <c r="G59" i="16"/>
  <c r="O16" i="15"/>
  <c r="G12" i="15"/>
  <c r="G19" i="15"/>
  <c r="G54" i="15"/>
  <c r="H13" i="16"/>
  <c r="H19" i="16"/>
  <c r="O19" i="15"/>
  <c r="O54" i="15"/>
  <c r="AC16" i="15"/>
  <c r="AC19" i="15"/>
  <c r="H17" i="44"/>
  <c r="H55" i="16"/>
  <c r="G15" i="21"/>
  <c r="G13" i="16"/>
  <c r="G19" i="16"/>
  <c r="G20" i="21"/>
  <c r="G27" i="21"/>
  <c r="G61" i="16"/>
  <c r="G19" i="44"/>
  <c r="G17" i="44"/>
  <c r="H15" i="21"/>
  <c r="H12" i="15"/>
  <c r="H19" i="15"/>
  <c r="H54" i="15"/>
  <c r="I13" i="16"/>
  <c r="I19" i="16"/>
  <c r="P13" i="16"/>
  <c r="P19" i="16"/>
  <c r="P37" i="16"/>
  <c r="P12" i="15"/>
  <c r="AB12" i="15"/>
  <c r="AD12" i="15"/>
  <c r="P15" i="21"/>
  <c r="B24" i="11"/>
  <c r="B21" i="11"/>
  <c r="C18" i="11"/>
  <c r="H59" i="16"/>
  <c r="I55" i="16"/>
  <c r="G23" i="21"/>
  <c r="G37" i="16"/>
  <c r="H37" i="16"/>
  <c r="H23" i="21"/>
  <c r="G18" i="44"/>
  <c r="G21" i="44"/>
  <c r="H21" i="44"/>
  <c r="H18" i="44"/>
  <c r="I12" i="15"/>
  <c r="I19" i="15"/>
  <c r="I54" i="15"/>
  <c r="J12" i="15"/>
  <c r="J19" i="15"/>
  <c r="J54" i="15"/>
  <c r="I15" i="21"/>
  <c r="I17" i="44"/>
  <c r="I21" i="44"/>
  <c r="C21" i="11"/>
  <c r="B30" i="11"/>
  <c r="C24" i="11"/>
  <c r="J15" i="21"/>
  <c r="J13" i="16"/>
  <c r="J19" i="16"/>
  <c r="J17" i="44"/>
  <c r="P18" i="21"/>
  <c r="P34" i="21"/>
  <c r="I18" i="44"/>
  <c r="G18" i="21"/>
  <c r="G34" i="21"/>
  <c r="G63" i="16"/>
  <c r="I59" i="16"/>
  <c r="J55" i="16"/>
  <c r="H18" i="21"/>
  <c r="H34" i="21"/>
  <c r="H20" i="21"/>
  <c r="H27" i="21"/>
  <c r="H61" i="16"/>
  <c r="H19" i="44"/>
  <c r="I37" i="16"/>
  <c r="I23" i="21"/>
  <c r="B31" i="11"/>
  <c r="C31" i="11"/>
  <c r="C30" i="11"/>
  <c r="D42" i="43"/>
  <c r="AB35" i="43"/>
  <c r="D46" i="43"/>
  <c r="D48" i="43"/>
  <c r="I13" i="43"/>
  <c r="L13" i="43"/>
  <c r="H63" i="16"/>
  <c r="H21" i="21"/>
  <c r="H28" i="21"/>
  <c r="I20" i="21"/>
  <c r="I27" i="21"/>
  <c r="I61" i="16"/>
  <c r="I19" i="44"/>
  <c r="G20" i="44"/>
  <c r="G64" i="16"/>
  <c r="G65" i="16"/>
  <c r="G28" i="21"/>
  <c r="G21" i="21"/>
  <c r="K17" i="44"/>
  <c r="K15" i="21"/>
  <c r="K13" i="16"/>
  <c r="K19" i="16"/>
  <c r="K12" i="15"/>
  <c r="K19" i="15"/>
  <c r="K54" i="15"/>
  <c r="J59" i="16"/>
  <c r="K55" i="16"/>
  <c r="J21" i="44"/>
  <c r="J18" i="44"/>
  <c r="J23" i="21"/>
  <c r="J37" i="16"/>
  <c r="I18" i="21"/>
  <c r="I34" i="21"/>
  <c r="B41" i="11"/>
  <c r="D225" i="43"/>
  <c r="D110" i="43"/>
  <c r="D226" i="43"/>
  <c r="D111" i="43"/>
  <c r="D223" i="43"/>
  <c r="D112" i="43"/>
  <c r="D224" i="43"/>
  <c r="D113" i="43"/>
  <c r="D266" i="43"/>
  <c r="AD48" i="43"/>
  <c r="D227" i="43"/>
  <c r="D49" i="43"/>
  <c r="D214" i="43"/>
  <c r="D100" i="43"/>
  <c r="D212" i="43"/>
  <c r="D215" i="43"/>
  <c r="D211" i="43"/>
  <c r="D101" i="43"/>
  <c r="D213" i="43"/>
  <c r="D264" i="43"/>
  <c r="D102" i="43"/>
  <c r="AD42" i="43"/>
  <c r="D103" i="43"/>
  <c r="D43" i="43"/>
  <c r="I63" i="16"/>
  <c r="I65" i="16"/>
  <c r="K18" i="44"/>
  <c r="K21" i="44"/>
  <c r="J18" i="21"/>
  <c r="J34" i="21"/>
  <c r="I28" i="21"/>
  <c r="I21" i="21"/>
  <c r="K59" i="16"/>
  <c r="L55" i="16"/>
  <c r="J20" i="21"/>
  <c r="J27" i="21"/>
  <c r="J61" i="16"/>
  <c r="J19" i="44"/>
  <c r="L15" i="21"/>
  <c r="L17" i="44"/>
  <c r="L12" i="15"/>
  <c r="L19" i="15"/>
  <c r="L54" i="15"/>
  <c r="L13" i="16"/>
  <c r="L19" i="16"/>
  <c r="K23" i="21"/>
  <c r="K37" i="16"/>
  <c r="H64" i="16"/>
  <c r="H20" i="44"/>
  <c r="H65" i="16"/>
  <c r="C33" i="11"/>
  <c r="B42" i="11"/>
  <c r="M13" i="43"/>
  <c r="I64" i="16"/>
  <c r="C45" i="14"/>
  <c r="D46" i="14"/>
  <c r="D26" i="43"/>
  <c r="D45" i="43"/>
  <c r="D50" i="43"/>
  <c r="D116" i="43"/>
  <c r="C41" i="11"/>
  <c r="D44" i="43"/>
  <c r="D108" i="43"/>
  <c r="AD103" i="43"/>
  <c r="D145" i="43"/>
  <c r="AD101" i="43"/>
  <c r="D143" i="43"/>
  <c r="AD112" i="43"/>
  <c r="D154" i="43"/>
  <c r="AD100" i="43"/>
  <c r="D142" i="43"/>
  <c r="AD111" i="43"/>
  <c r="D153" i="43"/>
  <c r="AD113" i="43"/>
  <c r="D155" i="43"/>
  <c r="AD102" i="43"/>
  <c r="D144" i="43"/>
  <c r="AD110" i="43"/>
  <c r="D152" i="43"/>
  <c r="I20" i="44"/>
  <c r="L18" i="44"/>
  <c r="L21" i="44"/>
  <c r="K61" i="16"/>
  <c r="K19" i="44"/>
  <c r="K20" i="21"/>
  <c r="K27" i="21"/>
  <c r="J21" i="21"/>
  <c r="J28" i="21"/>
  <c r="K18" i="21"/>
  <c r="K34" i="21"/>
  <c r="L37" i="16"/>
  <c r="L23" i="21"/>
  <c r="M17" i="44"/>
  <c r="M15" i="21"/>
  <c r="M12" i="15"/>
  <c r="M19" i="15"/>
  <c r="M54" i="15"/>
  <c r="H301" i="43"/>
  <c r="M13" i="16"/>
  <c r="M19" i="16"/>
  <c r="L59" i="16"/>
  <c r="M55" i="16"/>
  <c r="J63" i="16"/>
  <c r="D117" i="43"/>
  <c r="AD117" i="43"/>
  <c r="D45" i="14"/>
  <c r="D107" i="43"/>
  <c r="AD107" i="43"/>
  <c r="D217" i="43"/>
  <c r="D218" i="43"/>
  <c r="AD44" i="43"/>
  <c r="D265" i="43"/>
  <c r="D105" i="43"/>
  <c r="AD105" i="43"/>
  <c r="D219" i="43"/>
  <c r="D115" i="43"/>
  <c r="AD115" i="43"/>
  <c r="D106" i="43"/>
  <c r="AD106" i="43"/>
  <c r="D233" i="43"/>
  <c r="D230" i="43"/>
  <c r="D118" i="43"/>
  <c r="AD118" i="43"/>
  <c r="D232" i="43"/>
  <c r="D229" i="43"/>
  <c r="D231" i="43"/>
  <c r="AD50" i="43"/>
  <c r="D51" i="43"/>
  <c r="D267" i="43"/>
  <c r="D221" i="43"/>
  <c r="D220" i="43"/>
  <c r="AD108" i="43"/>
  <c r="D150" i="43"/>
  <c r="AD116" i="43"/>
  <c r="D158" i="43"/>
  <c r="K63" i="16"/>
  <c r="K64" i="16"/>
  <c r="L18" i="21"/>
  <c r="L34" i="21"/>
  <c r="M23" i="21"/>
  <c r="M37" i="16"/>
  <c r="J65" i="16"/>
  <c r="J64" i="16"/>
  <c r="J20" i="44"/>
  <c r="N15" i="21"/>
  <c r="N17" i="44"/>
  <c r="N12" i="15"/>
  <c r="N19" i="15"/>
  <c r="N54" i="15"/>
  <c r="N13" i="16"/>
  <c r="N19" i="16"/>
  <c r="K28" i="21"/>
  <c r="K21" i="21"/>
  <c r="M59" i="16"/>
  <c r="N55" i="16"/>
  <c r="L61" i="16"/>
  <c r="L19" i="44"/>
  <c r="L20" i="21"/>
  <c r="L27" i="21"/>
  <c r="M21" i="44"/>
  <c r="M18" i="44"/>
  <c r="D159" i="43"/>
  <c r="D149" i="43"/>
  <c r="D157" i="43"/>
  <c r="D147" i="43"/>
  <c r="D160" i="43"/>
  <c r="D148" i="43"/>
  <c r="K20" i="44"/>
  <c r="K65" i="16"/>
  <c r="M18" i="21"/>
  <c r="M34" i="21"/>
  <c r="N59" i="16"/>
  <c r="O55" i="16"/>
  <c r="N23" i="21"/>
  <c r="N37" i="16"/>
  <c r="L63" i="16"/>
  <c r="O17" i="44"/>
  <c r="O15" i="21"/>
  <c r="O13" i="16"/>
  <c r="O19" i="16"/>
  <c r="O55" i="15"/>
  <c r="L28" i="21"/>
  <c r="L21" i="21"/>
  <c r="M20" i="21"/>
  <c r="M27" i="21"/>
  <c r="M61" i="16"/>
  <c r="M19" i="44"/>
  <c r="N18" i="44"/>
  <c r="N21" i="44"/>
  <c r="M63" i="16"/>
  <c r="M64" i="16"/>
  <c r="N18" i="21"/>
  <c r="N34" i="21"/>
  <c r="O37" i="16"/>
  <c r="P55" i="16"/>
  <c r="L65" i="16"/>
  <c r="L20" i="44"/>
  <c r="L64" i="16"/>
  <c r="N20" i="21"/>
  <c r="N27" i="21"/>
  <c r="N61" i="16"/>
  <c r="N19" i="44"/>
  <c r="O18" i="44"/>
  <c r="O21" i="44"/>
  <c r="L18" i="43"/>
  <c r="M21" i="21"/>
  <c r="M28" i="21"/>
  <c r="M65" i="16"/>
  <c r="M20" i="44"/>
  <c r="N63" i="16"/>
  <c r="Q55" i="16"/>
  <c r="N21" i="21"/>
  <c r="N28" i="21"/>
  <c r="O38" i="16"/>
  <c r="O18" i="21"/>
  <c r="O34" i="21"/>
  <c r="R55" i="16"/>
  <c r="N20" i="44"/>
  <c r="N65" i="16"/>
  <c r="N64" i="16"/>
  <c r="S55" i="16"/>
  <c r="T55" i="16"/>
  <c r="U55" i="16"/>
  <c r="V55" i="16"/>
  <c r="W55" i="16"/>
  <c r="X55" i="16"/>
  <c r="Y55" i="16"/>
  <c r="Z55" i="16"/>
  <c r="AA55" i="16"/>
  <c r="AB55" i="16"/>
  <c r="AC55" i="16"/>
  <c r="AD55" i="16"/>
  <c r="AE55" i="16"/>
  <c r="AF55" i="16"/>
  <c r="AG55" i="16"/>
  <c r="AH55" i="16"/>
  <c r="AI55" i="16"/>
  <c r="A5" i="44"/>
  <c r="AB7" i="23"/>
  <c r="AC7" i="23"/>
  <c r="AD7" i="23"/>
  <c r="AE7" i="23"/>
  <c r="AF7" i="23"/>
  <c r="AG7" i="23"/>
  <c r="AH7" i="23"/>
  <c r="AI7" i="23"/>
  <c r="AJ7" i="23"/>
  <c r="AK7" i="23"/>
  <c r="B5" i="44"/>
  <c r="AB7" i="24"/>
  <c r="AC7" i="24"/>
  <c r="AD7" i="24"/>
  <c r="AE7" i="24"/>
  <c r="AF7" i="24"/>
  <c r="AG7" i="24"/>
  <c r="AH7" i="24"/>
  <c r="AI7" i="24"/>
  <c r="AJ7" i="24"/>
  <c r="AK7" i="24"/>
  <c r="F30" i="44"/>
  <c r="F31" i="44"/>
  <c r="D30" i="44"/>
  <c r="I3" i="43"/>
  <c r="I4" i="43"/>
  <c r="E6" i="10"/>
  <c r="F6" i="10"/>
  <c r="G6" i="10"/>
  <c r="H6" i="10"/>
  <c r="I6" i="10"/>
  <c r="J6" i="10"/>
  <c r="K6" i="10"/>
  <c r="L6" i="10"/>
  <c r="M6" i="10"/>
  <c r="N6" i="10"/>
  <c r="C9" i="15"/>
  <c r="Q9" i="10"/>
  <c r="AC6" i="42"/>
  <c r="D5" i="9"/>
  <c r="E5" i="9"/>
  <c r="F5" i="9"/>
  <c r="G5" i="9"/>
  <c r="H5" i="9"/>
  <c r="I5" i="9"/>
  <c r="J5" i="9"/>
  <c r="K5" i="9"/>
  <c r="L5" i="9"/>
  <c r="M5" i="9"/>
  <c r="AD6" i="5"/>
  <c r="D31" i="44"/>
  <c r="F32" i="44"/>
  <c r="C5" i="44"/>
  <c r="E29" i="43"/>
  <c r="AE6" i="5"/>
  <c r="AD16" i="5"/>
  <c r="D5" i="5"/>
  <c r="R8" i="10"/>
  <c r="S1" i="10"/>
  <c r="Q10" i="10"/>
  <c r="Q11" i="10"/>
  <c r="Q12" i="10"/>
  <c r="Q13" i="10"/>
  <c r="Q14" i="10"/>
  <c r="Q15" i="10"/>
  <c r="Q16" i="10"/>
  <c r="Q17" i="10"/>
  <c r="Q18" i="10"/>
  <c r="S8" i="10"/>
  <c r="Q25" i="10"/>
  <c r="P9" i="15"/>
  <c r="D7" i="14"/>
  <c r="D9" i="16"/>
  <c r="AC10" i="15"/>
  <c r="D32" i="44"/>
  <c r="F33" i="44"/>
  <c r="C5" i="42"/>
  <c r="AC16" i="42"/>
  <c r="AD6" i="42"/>
  <c r="D5" i="44"/>
  <c r="F29" i="43"/>
  <c r="AD16" i="42"/>
  <c r="AE6" i="42"/>
  <c r="C15" i="42"/>
  <c r="P5" i="42"/>
  <c r="P15" i="42"/>
  <c r="T1" i="10"/>
  <c r="S9" i="10"/>
  <c r="S19" i="10"/>
  <c r="F15" i="10"/>
  <c r="T8" i="10"/>
  <c r="D15" i="5"/>
  <c r="Q5" i="5"/>
  <c r="Q15" i="5"/>
  <c r="E5" i="6"/>
  <c r="D9" i="21"/>
  <c r="Q9" i="21"/>
  <c r="Q9" i="16"/>
  <c r="AD10" i="16"/>
  <c r="Q26" i="10"/>
  <c r="Q27" i="10"/>
  <c r="Q28" i="10"/>
  <c r="Q29" i="10"/>
  <c r="Q30" i="10"/>
  <c r="Q31" i="10"/>
  <c r="Q32" i="10"/>
  <c r="Q33" i="10"/>
  <c r="Q34" i="10"/>
  <c r="R24" i="10"/>
  <c r="S24" i="10"/>
  <c r="Q41" i="10"/>
  <c r="D33" i="44"/>
  <c r="F34" i="44"/>
  <c r="AD10" i="15"/>
  <c r="E5" i="44"/>
  <c r="G29" i="43"/>
  <c r="Q7" i="14"/>
  <c r="AD8" i="14"/>
  <c r="AE8" i="14"/>
  <c r="AF8" i="14"/>
  <c r="AG8" i="14"/>
  <c r="AH8" i="14"/>
  <c r="AI8" i="14"/>
  <c r="AJ8" i="14"/>
  <c r="AK8" i="14"/>
  <c r="AL8" i="14"/>
  <c r="AM8" i="14"/>
  <c r="AE16" i="5"/>
  <c r="AF6" i="5"/>
  <c r="D34" i="44"/>
  <c r="F35" i="44"/>
  <c r="F5" i="44"/>
  <c r="H29" i="43"/>
  <c r="AE10" i="15"/>
  <c r="AF16" i="5"/>
  <c r="AG6" i="5"/>
  <c r="R5" i="6"/>
  <c r="D5" i="7"/>
  <c r="AE6" i="6"/>
  <c r="AF6" i="6"/>
  <c r="AG6" i="6"/>
  <c r="AH6" i="6"/>
  <c r="AI6" i="6"/>
  <c r="AJ6" i="6"/>
  <c r="AK6" i="6"/>
  <c r="AL6" i="6"/>
  <c r="AM6" i="6"/>
  <c r="AN6" i="6"/>
  <c r="AE16" i="42"/>
  <c r="AF6" i="42"/>
  <c r="S25" i="10"/>
  <c r="S35" i="10"/>
  <c r="F16" i="10"/>
  <c r="T24" i="10"/>
  <c r="T10" i="10"/>
  <c r="U1" i="10"/>
  <c r="T9" i="10"/>
  <c r="U8" i="10"/>
  <c r="AE10" i="16"/>
  <c r="AF10" i="16"/>
  <c r="AG10" i="16"/>
  <c r="AH10" i="16"/>
  <c r="AI10" i="16"/>
  <c r="AJ10" i="16"/>
  <c r="AK10" i="16"/>
  <c r="AL10" i="16"/>
  <c r="AM10" i="16"/>
  <c r="C3" i="22"/>
  <c r="D3" i="22"/>
  <c r="E3" i="22"/>
  <c r="F3" i="22"/>
  <c r="G3" i="22"/>
  <c r="H3" i="22"/>
  <c r="I3" i="22"/>
  <c r="J3" i="22"/>
  <c r="K3" i="22"/>
  <c r="L3" i="22"/>
  <c r="S40" i="10"/>
  <c r="Q42" i="10"/>
  <c r="Q43" i="10"/>
  <c r="Q44" i="10"/>
  <c r="Q45" i="10"/>
  <c r="Q46" i="10"/>
  <c r="Q47" i="10"/>
  <c r="Q48" i="10"/>
  <c r="Q49" i="10"/>
  <c r="Q50" i="10"/>
  <c r="Q66" i="10"/>
  <c r="R40" i="10"/>
  <c r="T19" i="10"/>
  <c r="G15" i="10"/>
  <c r="S41" i="10"/>
  <c r="S51" i="10"/>
  <c r="F17" i="10"/>
  <c r="F37" i="10"/>
  <c r="T40" i="10"/>
  <c r="AG6" i="42"/>
  <c r="AF16" i="42"/>
  <c r="U11" i="10"/>
  <c r="V1" i="10"/>
  <c r="U10" i="10"/>
  <c r="U9" i="10"/>
  <c r="V8" i="10"/>
  <c r="G5" i="44"/>
  <c r="I29" i="43"/>
  <c r="AF10" i="15"/>
  <c r="Q5" i="7"/>
  <c r="E5" i="8"/>
  <c r="AD6" i="7"/>
  <c r="AE6" i="7"/>
  <c r="AF6" i="7"/>
  <c r="AG6" i="7"/>
  <c r="AH6" i="7"/>
  <c r="AI6" i="7"/>
  <c r="AJ6" i="7"/>
  <c r="AK6" i="7"/>
  <c r="AL6" i="7"/>
  <c r="AM6" i="7"/>
  <c r="D35" i="44"/>
  <c r="F36" i="44"/>
  <c r="T25" i="10"/>
  <c r="T26" i="10"/>
  <c r="U24" i="10"/>
  <c r="R55" i="10"/>
  <c r="S55" i="10"/>
  <c r="T55" i="10"/>
  <c r="U55" i="10"/>
  <c r="V55" i="10"/>
  <c r="W55" i="10"/>
  <c r="X55" i="10"/>
  <c r="Y55" i="10"/>
  <c r="Z55" i="10"/>
  <c r="AA55" i="10"/>
  <c r="AE55" i="10"/>
  <c r="AF55" i="10"/>
  <c r="R65" i="10"/>
  <c r="Q67" i="10"/>
  <c r="Q68" i="10"/>
  <c r="Q69" i="10"/>
  <c r="Q70" i="10"/>
  <c r="Q71" i="10"/>
  <c r="Q72" i="10"/>
  <c r="Q73" i="10"/>
  <c r="Q74" i="10"/>
  <c r="Q75" i="10"/>
  <c r="S65" i="10"/>
  <c r="AG16" i="5"/>
  <c r="AH6" i="5"/>
  <c r="T35" i="10"/>
  <c r="G16" i="10"/>
  <c r="F32" i="10"/>
  <c r="AC22" i="7"/>
  <c r="AG10" i="15"/>
  <c r="R5" i="8"/>
  <c r="B6" i="23"/>
  <c r="AE6" i="8"/>
  <c r="AH16" i="5"/>
  <c r="AI6" i="5"/>
  <c r="AH6" i="42"/>
  <c r="AG16" i="42"/>
  <c r="U25" i="10"/>
  <c r="U26" i="10"/>
  <c r="U27" i="10"/>
  <c r="V24" i="10"/>
  <c r="S66" i="10"/>
  <c r="S76" i="10"/>
  <c r="F46" i="10"/>
  <c r="F54" i="10"/>
  <c r="T65" i="10"/>
  <c r="D36" i="44"/>
  <c r="F37" i="44"/>
  <c r="H5" i="44"/>
  <c r="T42" i="10"/>
  <c r="T41" i="10"/>
  <c r="U40" i="10"/>
  <c r="W1" i="10"/>
  <c r="V11" i="10"/>
  <c r="V12" i="10"/>
  <c r="V10" i="10"/>
  <c r="V9" i="10"/>
  <c r="W8" i="10"/>
  <c r="AF57" i="10"/>
  <c r="S57" i="10"/>
  <c r="F27" i="10"/>
  <c r="AF58" i="10"/>
  <c r="S58" i="10"/>
  <c r="F28" i="10"/>
  <c r="AF59" i="10"/>
  <c r="S59" i="10"/>
  <c r="F29" i="10"/>
  <c r="AF56" i="10"/>
  <c r="S56" i="10"/>
  <c r="F26" i="10"/>
  <c r="AF60" i="10"/>
  <c r="AG55" i="10"/>
  <c r="U19" i="10"/>
  <c r="H15" i="10"/>
  <c r="T51" i="10"/>
  <c r="G17" i="10"/>
  <c r="G37" i="10"/>
  <c r="G32" i="10"/>
  <c r="AF22" i="7"/>
  <c r="V19" i="10"/>
  <c r="I15" i="10"/>
  <c r="U41" i="10"/>
  <c r="U42" i="10"/>
  <c r="U43" i="10"/>
  <c r="V40" i="10"/>
  <c r="F62" i="10"/>
  <c r="F58" i="10"/>
  <c r="AD24" i="8"/>
  <c r="O6" i="23"/>
  <c r="B14" i="23"/>
  <c r="O14" i="23"/>
  <c r="B22" i="23"/>
  <c r="O22" i="23"/>
  <c r="B47" i="23"/>
  <c r="O47" i="23"/>
  <c r="B6" i="24"/>
  <c r="O6" i="24"/>
  <c r="B14" i="24"/>
  <c r="O14" i="24"/>
  <c r="B22" i="24"/>
  <c r="O22" i="24"/>
  <c r="B47" i="24"/>
  <c r="O47" i="24"/>
  <c r="I5" i="44"/>
  <c r="K29" i="43"/>
  <c r="V27" i="10"/>
  <c r="V28" i="10"/>
  <c r="V26" i="10"/>
  <c r="V25" i="10"/>
  <c r="W24" i="10"/>
  <c r="W11" i="10"/>
  <c r="W12" i="10"/>
  <c r="W10" i="10"/>
  <c r="X1" i="10"/>
  <c r="W13" i="10"/>
  <c r="W9" i="10"/>
  <c r="X8" i="10"/>
  <c r="AG57" i="10"/>
  <c r="T57" i="10"/>
  <c r="G27" i="10"/>
  <c r="AG59" i="10"/>
  <c r="T59" i="10"/>
  <c r="G29" i="10"/>
  <c r="AG58" i="10"/>
  <c r="T58" i="10"/>
  <c r="G28" i="10"/>
  <c r="AG56" i="10"/>
  <c r="T56" i="10"/>
  <c r="G26" i="10"/>
  <c r="AG60" i="10"/>
  <c r="AH55" i="10"/>
  <c r="J29" i="43"/>
  <c r="U35" i="10"/>
  <c r="H16" i="10"/>
  <c r="AH10" i="15"/>
  <c r="F38" i="10"/>
  <c r="AI6" i="42"/>
  <c r="AH16" i="42"/>
  <c r="AC81" i="16"/>
  <c r="AE22" i="7"/>
  <c r="Q22" i="7"/>
  <c r="X22" i="7"/>
  <c r="V22" i="7"/>
  <c r="AB22" i="7"/>
  <c r="S22" i="7"/>
  <c r="T22" i="7"/>
  <c r="W22" i="7"/>
  <c r="R22" i="7"/>
  <c r="U22" i="7"/>
  <c r="AA22" i="7"/>
  <c r="Y22" i="7"/>
  <c r="Z22" i="7"/>
  <c r="AE30" i="8"/>
  <c r="AF30" i="8"/>
  <c r="AG30" i="8"/>
  <c r="AH30" i="8"/>
  <c r="AI30" i="8"/>
  <c r="AJ30" i="8"/>
  <c r="AK30" i="8"/>
  <c r="AL30" i="8"/>
  <c r="AM30" i="8"/>
  <c r="AN30" i="8"/>
  <c r="AF6" i="8"/>
  <c r="AG6" i="8"/>
  <c r="AH6" i="8"/>
  <c r="AI6" i="8"/>
  <c r="AJ6" i="8"/>
  <c r="AK6" i="8"/>
  <c r="AL6" i="8"/>
  <c r="AM6" i="8"/>
  <c r="AN6" i="8"/>
  <c r="S60" i="10"/>
  <c r="F52" i="10"/>
  <c r="F59" i="10"/>
  <c r="D37" i="44"/>
  <c r="F38" i="44"/>
  <c r="T67" i="10"/>
  <c r="T66" i="10"/>
  <c r="U65" i="10"/>
  <c r="AI16" i="5"/>
  <c r="AJ6" i="5"/>
  <c r="T76" i="10"/>
  <c r="G46" i="10"/>
  <c r="G54" i="10"/>
  <c r="G62" i="10"/>
  <c r="W19" i="10"/>
  <c r="J15" i="10"/>
  <c r="AE81" i="16"/>
  <c r="X11" i="10"/>
  <c r="X12" i="10"/>
  <c r="X13" i="10"/>
  <c r="X10" i="10"/>
  <c r="Y1" i="10"/>
  <c r="X14" i="10"/>
  <c r="X9" i="10"/>
  <c r="Y8" i="10"/>
  <c r="V35" i="10"/>
  <c r="I16" i="10"/>
  <c r="W81" i="16"/>
  <c r="D38" i="44"/>
  <c r="F39" i="44"/>
  <c r="T81" i="16"/>
  <c r="AH56" i="10"/>
  <c r="U56" i="10"/>
  <c r="H26" i="10"/>
  <c r="AH59" i="10"/>
  <c r="U59" i="10"/>
  <c r="H29" i="10"/>
  <c r="AH57" i="10"/>
  <c r="U57" i="10"/>
  <c r="H27" i="10"/>
  <c r="AH58" i="10"/>
  <c r="U58" i="10"/>
  <c r="H28" i="10"/>
  <c r="AH60" i="10"/>
  <c r="AI55" i="10"/>
  <c r="AF81" i="16"/>
  <c r="AC79" i="16"/>
  <c r="AC84" i="16"/>
  <c r="R24" i="8"/>
  <c r="S24" i="8"/>
  <c r="T24" i="8"/>
  <c r="V24" i="8"/>
  <c r="Y24" i="8"/>
  <c r="X24" i="8"/>
  <c r="U24" i="8"/>
  <c r="AB24" i="8"/>
  <c r="AA24" i="8"/>
  <c r="AF24" i="8"/>
  <c r="AC24" i="8"/>
  <c r="W24" i="8"/>
  <c r="Z24" i="8"/>
  <c r="Z81" i="16"/>
  <c r="S81" i="16"/>
  <c r="AI16" i="42"/>
  <c r="AJ6" i="42"/>
  <c r="T60" i="10"/>
  <c r="G59" i="10"/>
  <c r="F60" i="10"/>
  <c r="AD25" i="8"/>
  <c r="AD26" i="8"/>
  <c r="Y81" i="16"/>
  <c r="AB81" i="16"/>
  <c r="F33" i="10"/>
  <c r="F39" i="10"/>
  <c r="G38" i="10"/>
  <c r="V42" i="10"/>
  <c r="V43" i="10"/>
  <c r="V44" i="10"/>
  <c r="W40" i="10"/>
  <c r="V41" i="10"/>
  <c r="F55" i="10"/>
  <c r="G52" i="10"/>
  <c r="AJ16" i="5"/>
  <c r="AK6" i="5"/>
  <c r="V81" i="16"/>
  <c r="J5" i="44"/>
  <c r="L29" i="43"/>
  <c r="U81" i="16"/>
  <c r="X81" i="16"/>
  <c r="AI10" i="15"/>
  <c r="AA81" i="16"/>
  <c r="U67" i="10"/>
  <c r="U68" i="10"/>
  <c r="U66" i="10"/>
  <c r="V65" i="10"/>
  <c r="R81" i="16"/>
  <c r="Q81" i="16"/>
  <c r="W28" i="10"/>
  <c r="W26" i="10"/>
  <c r="W25" i="10"/>
  <c r="W29" i="10"/>
  <c r="W27" i="10"/>
  <c r="X24" i="10"/>
  <c r="U51" i="10"/>
  <c r="H17" i="10"/>
  <c r="H37" i="10"/>
  <c r="G58" i="10"/>
  <c r="AG24" i="8"/>
  <c r="W35" i="10"/>
  <c r="J16" i="10"/>
  <c r="H38" i="10"/>
  <c r="H39" i="10"/>
  <c r="H32" i="10"/>
  <c r="AG22" i="7"/>
  <c r="W79" i="16"/>
  <c r="W84" i="16"/>
  <c r="AJ16" i="42"/>
  <c r="AK6" i="42"/>
  <c r="Y79" i="16"/>
  <c r="Y84" i="16"/>
  <c r="X79" i="16"/>
  <c r="X84" i="16"/>
  <c r="G33" i="10"/>
  <c r="G39" i="10"/>
  <c r="V79" i="16"/>
  <c r="V84" i="16"/>
  <c r="U79" i="16"/>
  <c r="U84" i="16"/>
  <c r="G55" i="10"/>
  <c r="H52" i="10"/>
  <c r="AF25" i="8"/>
  <c r="AE80" i="16"/>
  <c r="AC80" i="16"/>
  <c r="W25" i="8"/>
  <c r="V80" i="16"/>
  <c r="R25" i="8"/>
  <c r="Q80" i="16"/>
  <c r="Y25" i="8"/>
  <c r="X80" i="16"/>
  <c r="U25" i="8"/>
  <c r="T80" i="16"/>
  <c r="X25" i="8"/>
  <c r="W80" i="16"/>
  <c r="T25" i="8"/>
  <c r="S80" i="16"/>
  <c r="V25" i="8"/>
  <c r="U80" i="16"/>
  <c r="S25" i="8"/>
  <c r="R80" i="16"/>
  <c r="AB25" i="8"/>
  <c r="AA80" i="16"/>
  <c r="AC25" i="8"/>
  <c r="AB80" i="16"/>
  <c r="AA25" i="8"/>
  <c r="Z80" i="16"/>
  <c r="Z25" i="8"/>
  <c r="Y80" i="16"/>
  <c r="AB79" i="16"/>
  <c r="AB84" i="16"/>
  <c r="T41" i="8"/>
  <c r="S79" i="16"/>
  <c r="S84" i="16"/>
  <c r="Y12" i="10"/>
  <c r="Y15" i="10"/>
  <c r="Y11" i="10"/>
  <c r="Y10" i="10"/>
  <c r="Z1" i="10"/>
  <c r="Y13" i="10"/>
  <c r="Y14" i="10"/>
  <c r="Y9" i="10"/>
  <c r="Z8" i="10"/>
  <c r="F63" i="10"/>
  <c r="F64" i="10"/>
  <c r="F56" i="10"/>
  <c r="F34" i="10"/>
  <c r="AC23" i="7"/>
  <c r="AE79" i="16"/>
  <c r="AE84" i="16"/>
  <c r="R79" i="16"/>
  <c r="R84" i="16"/>
  <c r="AI57" i="10"/>
  <c r="V57" i="10"/>
  <c r="I27" i="10"/>
  <c r="AI59" i="10"/>
  <c r="V59" i="10"/>
  <c r="I29" i="10"/>
  <c r="AI58" i="10"/>
  <c r="V58" i="10"/>
  <c r="I28" i="10"/>
  <c r="AI56" i="10"/>
  <c r="V56" i="10"/>
  <c r="I26" i="10"/>
  <c r="AI60" i="10"/>
  <c r="AJ55" i="10"/>
  <c r="X19" i="10"/>
  <c r="K15" i="10"/>
  <c r="K5" i="44"/>
  <c r="M29" i="43"/>
  <c r="V51" i="10"/>
  <c r="I17" i="10"/>
  <c r="I37" i="10"/>
  <c r="Z79" i="16"/>
  <c r="Z84" i="16"/>
  <c r="Q79" i="16"/>
  <c r="Q84" i="16"/>
  <c r="Q87" i="16"/>
  <c r="Q27" i="16"/>
  <c r="Q28" i="16"/>
  <c r="U60" i="10"/>
  <c r="H59" i="10"/>
  <c r="D39" i="44"/>
  <c r="F40" i="44"/>
  <c r="AF79" i="16"/>
  <c r="AF84" i="16"/>
  <c r="X30" i="10"/>
  <c r="X28" i="10"/>
  <c r="X26" i="10"/>
  <c r="X27" i="10"/>
  <c r="X29" i="10"/>
  <c r="X25" i="10"/>
  <c r="Y24" i="10"/>
  <c r="AK16" i="5"/>
  <c r="AL6" i="5"/>
  <c r="U76" i="10"/>
  <c r="H46" i="10"/>
  <c r="H54" i="10"/>
  <c r="W45" i="10"/>
  <c r="W43" i="10"/>
  <c r="W41" i="10"/>
  <c r="W42" i="10"/>
  <c r="W44" i="10"/>
  <c r="X40" i="10"/>
  <c r="AA79" i="16"/>
  <c r="AA84" i="16"/>
  <c r="AD41" i="8"/>
  <c r="AJ10" i="15"/>
  <c r="V69" i="10"/>
  <c r="V67" i="10"/>
  <c r="V68" i="10"/>
  <c r="V66" i="10"/>
  <c r="W65" i="10"/>
  <c r="G60" i="10"/>
  <c r="AG25" i="8"/>
  <c r="AF80" i="16"/>
  <c r="T79" i="16"/>
  <c r="T84" i="16"/>
  <c r="AB26" i="8"/>
  <c r="AB41" i="8"/>
  <c r="AA20" i="14"/>
  <c r="S41" i="8"/>
  <c r="Q36" i="15"/>
  <c r="S26" i="8"/>
  <c r="U26" i="8"/>
  <c r="U41" i="8"/>
  <c r="S36" i="15"/>
  <c r="T26" i="8"/>
  <c r="R26" i="8"/>
  <c r="R41" i="8"/>
  <c r="Q20" i="14"/>
  <c r="H33" i="10"/>
  <c r="H34" i="10"/>
  <c r="W26" i="8"/>
  <c r="W51" i="10"/>
  <c r="J17" i="10"/>
  <c r="J37" i="10"/>
  <c r="J32" i="10"/>
  <c r="AI22" i="7"/>
  <c r="X26" i="8"/>
  <c r="I32" i="10"/>
  <c r="AH22" i="7"/>
  <c r="AC82" i="16"/>
  <c r="AC85" i="16"/>
  <c r="W23" i="7"/>
  <c r="U23" i="7"/>
  <c r="AE23" i="7"/>
  <c r="V23" i="7"/>
  <c r="X23" i="7"/>
  <c r="Y23" i="7"/>
  <c r="S23" i="7"/>
  <c r="R23" i="7"/>
  <c r="Q23" i="7"/>
  <c r="T23" i="7"/>
  <c r="Z23" i="7"/>
  <c r="AB23" i="7"/>
  <c r="AA23" i="7"/>
  <c r="AC24" i="7"/>
  <c r="AK10" i="15"/>
  <c r="X35" i="10"/>
  <c r="K16" i="10"/>
  <c r="AG41" i="8"/>
  <c r="AJ59" i="10"/>
  <c r="W59" i="10"/>
  <c r="J29" i="10"/>
  <c r="AJ56" i="10"/>
  <c r="W56" i="10"/>
  <c r="J26" i="10"/>
  <c r="AJ58" i="10"/>
  <c r="W58" i="10"/>
  <c r="J28" i="10"/>
  <c r="AJ57" i="10"/>
  <c r="W57" i="10"/>
  <c r="J27" i="10"/>
  <c r="AJ60" i="10"/>
  <c r="AK55" i="10"/>
  <c r="AF23" i="7"/>
  <c r="G47" i="43"/>
  <c r="G34" i="10"/>
  <c r="AK16" i="42"/>
  <c r="AL6" i="42"/>
  <c r="AL16" i="42"/>
  <c r="V60" i="10"/>
  <c r="I59" i="10"/>
  <c r="Z10" i="10"/>
  <c r="Z14" i="10"/>
  <c r="Z11" i="10"/>
  <c r="Z12" i="10"/>
  <c r="AA1" i="10"/>
  <c r="Z15" i="10"/>
  <c r="Z13" i="10"/>
  <c r="Z16" i="10"/>
  <c r="AA8" i="10"/>
  <c r="Z9" i="10"/>
  <c r="AC20" i="14"/>
  <c r="AB36" i="15"/>
  <c r="D40" i="44"/>
  <c r="F41" i="44"/>
  <c r="I38" i="10"/>
  <c r="I33" i="10"/>
  <c r="AF41" i="8"/>
  <c r="Y19" i="10"/>
  <c r="L15" i="10"/>
  <c r="V26" i="8"/>
  <c r="AG26" i="8"/>
  <c r="AA26" i="8"/>
  <c r="W68" i="10"/>
  <c r="W67" i="10"/>
  <c r="W70" i="10"/>
  <c r="W69" i="10"/>
  <c r="W66" i="10"/>
  <c r="X65" i="10"/>
  <c r="AA41" i="8"/>
  <c r="AF26" i="8"/>
  <c r="V41" i="8"/>
  <c r="Y26" i="8"/>
  <c r="V76" i="10"/>
  <c r="I46" i="10"/>
  <c r="I54" i="10"/>
  <c r="H62" i="10"/>
  <c r="H58" i="10"/>
  <c r="AH24" i="8"/>
  <c r="AH25" i="8"/>
  <c r="AG80" i="16"/>
  <c r="S20" i="14"/>
  <c r="R36" i="15"/>
  <c r="Y41" i="8"/>
  <c r="X41" i="8"/>
  <c r="AG81" i="16"/>
  <c r="X46" i="10"/>
  <c r="X43" i="10"/>
  <c r="X41" i="10"/>
  <c r="X42" i="10"/>
  <c r="X44" i="10"/>
  <c r="X45" i="10"/>
  <c r="Y40" i="10"/>
  <c r="R87" i="16"/>
  <c r="R27" i="16"/>
  <c r="R28" i="16"/>
  <c r="AC41" i="8"/>
  <c r="H55" i="10"/>
  <c r="H63" i="10"/>
  <c r="I52" i="10"/>
  <c r="W41" i="8"/>
  <c r="Z41" i="8"/>
  <c r="AM6" i="5"/>
  <c r="AM16" i="5"/>
  <c r="AL16" i="5"/>
  <c r="Y31" i="10"/>
  <c r="Y30" i="10"/>
  <c r="Y28" i="10"/>
  <c r="Y27" i="10"/>
  <c r="Y26" i="10"/>
  <c r="Y29" i="10"/>
  <c r="Y25" i="10"/>
  <c r="Z24" i="10"/>
  <c r="AC26" i="8"/>
  <c r="G63" i="10"/>
  <c r="G64" i="10"/>
  <c r="G56" i="10"/>
  <c r="Z26" i="8"/>
  <c r="Z36" i="15"/>
  <c r="R20" i="14"/>
  <c r="T20" i="14"/>
  <c r="AG23" i="7"/>
  <c r="AG82" i="16"/>
  <c r="AG85" i="16"/>
  <c r="P36" i="15"/>
  <c r="Z19" i="10"/>
  <c r="M15" i="10"/>
  <c r="H60" i="10"/>
  <c r="S87" i="16"/>
  <c r="S27" i="16"/>
  <c r="S28" i="16"/>
  <c r="X36" i="15"/>
  <c r="Y20" i="14"/>
  <c r="Y47" i="10"/>
  <c r="Y45" i="10"/>
  <c r="Y43" i="10"/>
  <c r="Y44" i="10"/>
  <c r="Y42" i="10"/>
  <c r="Y46" i="10"/>
  <c r="Y41" i="10"/>
  <c r="Z40" i="10"/>
  <c r="H64" i="10"/>
  <c r="W60" i="10"/>
  <c r="J59" i="10"/>
  <c r="Z82" i="16"/>
  <c r="Z85" i="16"/>
  <c r="Y18" i="15"/>
  <c r="Z24" i="7"/>
  <c r="AE82" i="16"/>
  <c r="AE85" i="16"/>
  <c r="AE24" i="7"/>
  <c r="F47" i="43"/>
  <c r="AL10" i="15"/>
  <c r="T82" i="16"/>
  <c r="T85" i="16"/>
  <c r="S18" i="15"/>
  <c r="T24" i="7"/>
  <c r="U82" i="16"/>
  <c r="U85" i="16"/>
  <c r="U24" i="7"/>
  <c r="T18" i="15"/>
  <c r="I55" i="10"/>
  <c r="I63" i="10"/>
  <c r="J52" i="10"/>
  <c r="Z20" i="14"/>
  <c r="Y36" i="15"/>
  <c r="AA15" i="10"/>
  <c r="AA10" i="10"/>
  <c r="AA11" i="10"/>
  <c r="AA14" i="10"/>
  <c r="AA17" i="10"/>
  <c r="AB1" i="10"/>
  <c r="AA16" i="10"/>
  <c r="AA12" i="10"/>
  <c r="AA13" i="10"/>
  <c r="AA9" i="10"/>
  <c r="Q82" i="16"/>
  <c r="Q85" i="16"/>
  <c r="Q88" i="16"/>
  <c r="Q34" i="16"/>
  <c r="Q35" i="16"/>
  <c r="P18" i="15"/>
  <c r="Q24" i="7"/>
  <c r="W82" i="16"/>
  <c r="W85" i="16"/>
  <c r="W24" i="7"/>
  <c r="V18" i="15"/>
  <c r="Z26" i="10"/>
  <c r="Z30" i="10"/>
  <c r="Z32" i="10"/>
  <c r="Z31" i="10"/>
  <c r="Z28" i="10"/>
  <c r="Z29" i="10"/>
  <c r="Z27" i="10"/>
  <c r="AA24" i="10"/>
  <c r="Z25" i="10"/>
  <c r="Y35" i="10"/>
  <c r="L16" i="10"/>
  <c r="I62" i="10"/>
  <c r="I58" i="10"/>
  <c r="AI24" i="8"/>
  <c r="AD36" i="15"/>
  <c r="AE20" i="14"/>
  <c r="D18" i="22"/>
  <c r="AI25" i="8"/>
  <c r="AH80" i="16"/>
  <c r="J38" i="10"/>
  <c r="R82" i="16"/>
  <c r="R85" i="16"/>
  <c r="Q18" i="15"/>
  <c r="R24" i="7"/>
  <c r="U36" i="15"/>
  <c r="V20" i="14"/>
  <c r="X51" i="10"/>
  <c r="K17" i="10"/>
  <c r="K37" i="10"/>
  <c r="X69" i="10"/>
  <c r="X68" i="10"/>
  <c r="X70" i="10"/>
  <c r="X67" i="10"/>
  <c r="X66" i="10"/>
  <c r="Y65" i="10"/>
  <c r="I34" i="10"/>
  <c r="AH23" i="7"/>
  <c r="AH82" i="16"/>
  <c r="AF82" i="16"/>
  <c r="AF85" i="16"/>
  <c r="AE18" i="15"/>
  <c r="AF24" i="7"/>
  <c r="S82" i="16"/>
  <c r="S85" i="16"/>
  <c r="R18" i="15"/>
  <c r="S24" i="7"/>
  <c r="AI81" i="16"/>
  <c r="AB35" i="15"/>
  <c r="AC17" i="14"/>
  <c r="AC18" i="14"/>
  <c r="AC22" i="14"/>
  <c r="AB20" i="14"/>
  <c r="AA36" i="15"/>
  <c r="W36" i="15"/>
  <c r="X20" i="14"/>
  <c r="AH26" i="8"/>
  <c r="AH41" i="8"/>
  <c r="AG79" i="16"/>
  <c r="AG84" i="16"/>
  <c r="T36" i="15"/>
  <c r="U20" i="14"/>
  <c r="AA82" i="16"/>
  <c r="AA85" i="16"/>
  <c r="Z18" i="15"/>
  <c r="AA24" i="7"/>
  <c r="X82" i="16"/>
  <c r="X85" i="16"/>
  <c r="X24" i="7"/>
  <c r="W18" i="15"/>
  <c r="I39" i="10"/>
  <c r="W20" i="14"/>
  <c r="V36" i="15"/>
  <c r="D41" i="44"/>
  <c r="F42" i="44"/>
  <c r="Y82" i="16"/>
  <c r="Y85" i="16"/>
  <c r="X18" i="15"/>
  <c r="Y24" i="7"/>
  <c r="H56" i="10"/>
  <c r="AK59" i="10"/>
  <c r="X59" i="10"/>
  <c r="K29" i="10"/>
  <c r="AK57" i="10"/>
  <c r="X57" i="10"/>
  <c r="K27" i="10"/>
  <c r="AK58" i="10"/>
  <c r="X58" i="10"/>
  <c r="K28" i="10"/>
  <c r="AK56" i="10"/>
  <c r="X56" i="10"/>
  <c r="K26" i="10"/>
  <c r="AL55" i="10"/>
  <c r="AK60" i="10"/>
  <c r="AF20" i="14"/>
  <c r="E18" i="22"/>
  <c r="AE36" i="15"/>
  <c r="AB82" i="16"/>
  <c r="AB85" i="16"/>
  <c r="AA18" i="15"/>
  <c r="AB24" i="7"/>
  <c r="V82" i="16"/>
  <c r="V85" i="16"/>
  <c r="V24" i="7"/>
  <c r="U18" i="15"/>
  <c r="AH81" i="16"/>
  <c r="H47" i="43"/>
  <c r="AF18" i="15"/>
  <c r="AG24" i="7"/>
  <c r="AF35" i="15"/>
  <c r="AH24" i="7"/>
  <c r="R88" i="16"/>
  <c r="R34" i="16"/>
  <c r="R35" i="16"/>
  <c r="I64" i="10"/>
  <c r="I56" i="10"/>
  <c r="AG18" i="15"/>
  <c r="T87" i="16"/>
  <c r="T27" i="16"/>
  <c r="T28" i="16"/>
  <c r="AF36" i="15"/>
  <c r="AG20" i="14"/>
  <c r="F18" i="22"/>
  <c r="AC41" i="14"/>
  <c r="AB47" i="15"/>
  <c r="AC25" i="14"/>
  <c r="V35" i="15"/>
  <c r="W17" i="14"/>
  <c r="W18" i="14"/>
  <c r="W22" i="14"/>
  <c r="S35" i="15"/>
  <c r="T17" i="14"/>
  <c r="T18" i="14"/>
  <c r="T22" i="14"/>
  <c r="Y35" i="15"/>
  <c r="Z17" i="14"/>
  <c r="Z18" i="14"/>
  <c r="Z22" i="14"/>
  <c r="Z35" i="15"/>
  <c r="AA17" i="14"/>
  <c r="AA18" i="14"/>
  <c r="AA22" i="14"/>
  <c r="AF27" i="7"/>
  <c r="AE35" i="15"/>
  <c r="AF17" i="14"/>
  <c r="AI26" i="8"/>
  <c r="AI41" i="8"/>
  <c r="I47" i="43"/>
  <c r="AH79" i="16"/>
  <c r="AH84" i="16"/>
  <c r="AB30" i="7"/>
  <c r="AC30" i="7"/>
  <c r="P35" i="15"/>
  <c r="Q17" i="14"/>
  <c r="Q18" i="14"/>
  <c r="Q22" i="14"/>
  <c r="J55" i="10"/>
  <c r="J63" i="10"/>
  <c r="K52" i="10"/>
  <c r="X35" i="15"/>
  <c r="Y17" i="14"/>
  <c r="Y18" i="14"/>
  <c r="Y22" i="14"/>
  <c r="P19" i="15"/>
  <c r="AB18" i="15"/>
  <c r="AJ25" i="8"/>
  <c r="AI80" i="16"/>
  <c r="X60" i="10"/>
  <c r="K59" i="10"/>
  <c r="U35" i="15"/>
  <c r="V17" i="14"/>
  <c r="V18" i="14"/>
  <c r="V22" i="14"/>
  <c r="J33" i="10"/>
  <c r="J39" i="10"/>
  <c r="D42" i="44"/>
  <c r="F43" i="44"/>
  <c r="R35" i="15"/>
  <c r="S17" i="14"/>
  <c r="S18" i="14"/>
  <c r="S22" i="14"/>
  <c r="Y70" i="10"/>
  <c r="Y68" i="10"/>
  <c r="Y67" i="10"/>
  <c r="Y69" i="10"/>
  <c r="Y66" i="10"/>
  <c r="Z65" i="10"/>
  <c r="K32" i="10"/>
  <c r="AJ22" i="7"/>
  <c r="AH85" i="16"/>
  <c r="Z35" i="10"/>
  <c r="M16" i="10"/>
  <c r="T35" i="15"/>
  <c r="U17" i="14"/>
  <c r="U18" i="14"/>
  <c r="U22" i="14"/>
  <c r="AE27" i="7"/>
  <c r="AD35" i="15"/>
  <c r="AE17" i="14"/>
  <c r="Z47" i="10"/>
  <c r="Z48" i="10"/>
  <c r="Z43" i="10"/>
  <c r="Z44" i="10"/>
  <c r="Z42" i="10"/>
  <c r="Z45" i="10"/>
  <c r="Z46" i="10"/>
  <c r="Z41" i="10"/>
  <c r="AA40" i="10"/>
  <c r="Q35" i="15"/>
  <c r="R17" i="14"/>
  <c r="R18" i="14"/>
  <c r="R22" i="14"/>
  <c r="AL57" i="10"/>
  <c r="Y57" i="10"/>
  <c r="L27" i="10"/>
  <c r="AL56" i="10"/>
  <c r="Y56" i="10"/>
  <c r="L26" i="10"/>
  <c r="AL58" i="10"/>
  <c r="Y58" i="10"/>
  <c r="L28" i="10"/>
  <c r="AL59" i="10"/>
  <c r="Y59" i="10"/>
  <c r="L29" i="10"/>
  <c r="AL60" i="10"/>
  <c r="AM55" i="10"/>
  <c r="AA19" i="10"/>
  <c r="N15" i="10"/>
  <c r="K38" i="10"/>
  <c r="K33" i="10"/>
  <c r="AA35" i="15"/>
  <c r="AB17" i="14"/>
  <c r="AB18" i="14"/>
  <c r="AB22" i="14"/>
  <c r="W35" i="15"/>
  <c r="X17" i="14"/>
  <c r="X18" i="14"/>
  <c r="X22" i="14"/>
  <c r="I60" i="10"/>
  <c r="AA31" i="10"/>
  <c r="AA27" i="10"/>
  <c r="AA26" i="10"/>
  <c r="AA28" i="10"/>
  <c r="AA32" i="10"/>
  <c r="AA33" i="10"/>
  <c r="AA29" i="10"/>
  <c r="AA30" i="10"/>
  <c r="AA25" i="10"/>
  <c r="Y51" i="10"/>
  <c r="L17" i="10"/>
  <c r="L37" i="10"/>
  <c r="AH27" i="7"/>
  <c r="AG17" i="14"/>
  <c r="AG18" i="14"/>
  <c r="AG22" i="14"/>
  <c r="AG24" i="14"/>
  <c r="AG27" i="7"/>
  <c r="U87" i="16"/>
  <c r="V87" i="16"/>
  <c r="AG35" i="15"/>
  <c r="AH17" i="14"/>
  <c r="AH18" i="14"/>
  <c r="S88" i="16"/>
  <c r="S34" i="16"/>
  <c r="S35" i="16"/>
  <c r="L32" i="10"/>
  <c r="AK22" i="7"/>
  <c r="R37" i="14"/>
  <c r="R40" i="14"/>
  <c r="D47" i="14"/>
  <c r="D48" i="14"/>
  <c r="J3" i="43"/>
  <c r="J4" i="43"/>
  <c r="AG36" i="15"/>
  <c r="AH20" i="14"/>
  <c r="G18" i="22"/>
  <c r="K55" i="10"/>
  <c r="K63" i="10"/>
  <c r="L52" i="10"/>
  <c r="Z37" i="14"/>
  <c r="Z40" i="14"/>
  <c r="AB25" i="14"/>
  <c r="AB36" i="21"/>
  <c r="AJ23" i="7"/>
  <c r="AJ82" i="16"/>
  <c r="K34" i="10"/>
  <c r="AM59" i="10"/>
  <c r="Z59" i="10"/>
  <c r="M29" i="10"/>
  <c r="AM56" i="10"/>
  <c r="Z56" i="10"/>
  <c r="M26" i="10"/>
  <c r="AM58" i="10"/>
  <c r="Z58" i="10"/>
  <c r="M28" i="10"/>
  <c r="AM57" i="10"/>
  <c r="Z57" i="10"/>
  <c r="M27" i="10"/>
  <c r="AN55" i="10"/>
  <c r="AM60" i="10"/>
  <c r="AA44" i="10"/>
  <c r="AA45" i="10"/>
  <c r="AA47" i="10"/>
  <c r="AA46" i="10"/>
  <c r="AA48" i="10"/>
  <c r="AA49" i="10"/>
  <c r="AA43" i="10"/>
  <c r="AA42" i="10"/>
  <c r="AA41" i="10"/>
  <c r="AJ81" i="16"/>
  <c r="AB19" i="15"/>
  <c r="AD18" i="15"/>
  <c r="AD19" i="15"/>
  <c r="AC33" i="14"/>
  <c r="Y60" i="10"/>
  <c r="L59" i="10"/>
  <c r="Z51" i="10"/>
  <c r="M17" i="10"/>
  <c r="M37" i="10"/>
  <c r="D17" i="22"/>
  <c r="AE18" i="14"/>
  <c r="AE22" i="14"/>
  <c r="K39" i="10"/>
  <c r="J34" i="10"/>
  <c r="AI23" i="7"/>
  <c r="Q40" i="14"/>
  <c r="Q37" i="14"/>
  <c r="AA37" i="14"/>
  <c r="AA40" i="14"/>
  <c r="T37" i="14"/>
  <c r="T40" i="14"/>
  <c r="Z73" i="10"/>
  <c r="Z67" i="10"/>
  <c r="Z69" i="10"/>
  <c r="Z68" i="10"/>
  <c r="Z70" i="10"/>
  <c r="AA65" i="10"/>
  <c r="Z66" i="10"/>
  <c r="S37" i="14"/>
  <c r="S40" i="14"/>
  <c r="V37" i="14"/>
  <c r="V40" i="14"/>
  <c r="W37" i="14"/>
  <c r="W40" i="14"/>
  <c r="AB37" i="14"/>
  <c r="AB40" i="14"/>
  <c r="L38" i="10"/>
  <c r="L33" i="10"/>
  <c r="U37" i="14"/>
  <c r="U40" i="14"/>
  <c r="AK25" i="8"/>
  <c r="AJ80" i="16"/>
  <c r="X37" i="14"/>
  <c r="X40" i="14"/>
  <c r="AA35" i="10"/>
  <c r="N16" i="10"/>
  <c r="D43" i="44"/>
  <c r="F44" i="44"/>
  <c r="Y37" i="14"/>
  <c r="Y40" i="14"/>
  <c r="E17" i="22"/>
  <c r="AF18" i="14"/>
  <c r="AF22" i="14"/>
  <c r="AG50" i="15"/>
  <c r="AH58" i="16"/>
  <c r="AH50" i="15"/>
  <c r="AI58" i="16"/>
  <c r="AJ55" i="16"/>
  <c r="AK55" i="16"/>
  <c r="AL55" i="16"/>
  <c r="AM55" i="16"/>
  <c r="F17" i="22"/>
  <c r="G17" i="22"/>
  <c r="U27" i="16"/>
  <c r="U28" i="16"/>
  <c r="T88" i="16"/>
  <c r="U88" i="16"/>
  <c r="AI50" i="15"/>
  <c r="AJ58" i="16"/>
  <c r="AJ50" i="15"/>
  <c r="AK58" i="16"/>
  <c r="AK50" i="15"/>
  <c r="AC50" i="15"/>
  <c r="AL50" i="15"/>
  <c r="AL58" i="16"/>
  <c r="AD50" i="15"/>
  <c r="AE58" i="16"/>
  <c r="AE50" i="15"/>
  <c r="AF58" i="16"/>
  <c r="AF50" i="15"/>
  <c r="AG58" i="16"/>
  <c r="AD26" i="14"/>
  <c r="F20" i="22"/>
  <c r="AG25" i="14"/>
  <c r="AG36" i="21"/>
  <c r="AH22" i="14"/>
  <c r="M32" i="10"/>
  <c r="AL22" i="7"/>
  <c r="D44" i="44"/>
  <c r="F45" i="44"/>
  <c r="AF47" i="15"/>
  <c r="F21" i="22"/>
  <c r="AJ24" i="7"/>
  <c r="M38" i="10"/>
  <c r="M33" i="10"/>
  <c r="AL25" i="8"/>
  <c r="AK80" i="16"/>
  <c r="AJ85" i="16"/>
  <c r="AC37" i="14"/>
  <c r="AA51" i="10"/>
  <c r="N17" i="10"/>
  <c r="N37" i="10"/>
  <c r="E20" i="22"/>
  <c r="AF24" i="14"/>
  <c r="AF25" i="14"/>
  <c r="L34" i="10"/>
  <c r="AK23" i="7"/>
  <c r="AK82" i="16"/>
  <c r="AC40" i="14"/>
  <c r="T42" i="14"/>
  <c r="T24" i="14"/>
  <c r="AI82" i="16"/>
  <c r="AI85" i="16"/>
  <c r="AI24" i="7"/>
  <c r="Z60" i="10"/>
  <c r="M59" i="10"/>
  <c r="AN59" i="10"/>
  <c r="AA59" i="10"/>
  <c r="N29" i="10"/>
  <c r="AN57" i="10"/>
  <c r="AA57" i="10"/>
  <c r="N27" i="10"/>
  <c r="AN58" i="10"/>
  <c r="AA58" i="10"/>
  <c r="N28" i="10"/>
  <c r="AN56" i="10"/>
  <c r="AA56" i="10"/>
  <c r="N26" i="10"/>
  <c r="AN60" i="10"/>
  <c r="V27" i="16"/>
  <c r="V28" i="16"/>
  <c r="W87" i="16"/>
  <c r="L55" i="10"/>
  <c r="L63" i="10"/>
  <c r="M52" i="10"/>
  <c r="AK81" i="16"/>
  <c r="AA70" i="10"/>
  <c r="AA73" i="10"/>
  <c r="AA74" i="10"/>
  <c r="AA68" i="10"/>
  <c r="AA67" i="10"/>
  <c r="AA69" i="10"/>
  <c r="AA66" i="10"/>
  <c r="D20" i="22"/>
  <c r="AE24" i="14"/>
  <c r="AE25" i="14"/>
  <c r="L39" i="10"/>
  <c r="AF42" i="16"/>
  <c r="AF36" i="21"/>
  <c r="AE42" i="16"/>
  <c r="AB42" i="16"/>
  <c r="AC42" i="16"/>
  <c r="AE36" i="21"/>
  <c r="AH24" i="14"/>
  <c r="G21" i="22"/>
  <c r="AH26" i="14"/>
  <c r="AH49" i="15"/>
  <c r="T34" i="16"/>
  <c r="T35" i="16"/>
  <c r="F22" i="22"/>
  <c r="AG33" i="14"/>
  <c r="AK24" i="7"/>
  <c r="AJ35" i="15"/>
  <c r="AG48" i="15"/>
  <c r="G40" i="22"/>
  <c r="AG42" i="16"/>
  <c r="AG26" i="14"/>
  <c r="AG43" i="16"/>
  <c r="AD28" i="14"/>
  <c r="AD43" i="16"/>
  <c r="AF26" i="14"/>
  <c r="AE26" i="14"/>
  <c r="P26" i="14"/>
  <c r="AD49" i="15"/>
  <c r="D41" i="22"/>
  <c r="C23" i="22"/>
  <c r="S42" i="14"/>
  <c r="S24" i="14"/>
  <c r="S33" i="14"/>
  <c r="U42" i="14"/>
  <c r="U24" i="14"/>
  <c r="T47" i="15"/>
  <c r="T52" i="15"/>
  <c r="G20" i="22"/>
  <c r="AH25" i="14"/>
  <c r="U34" i="16"/>
  <c r="U35" i="16"/>
  <c r="V88" i="16"/>
  <c r="X42" i="14"/>
  <c r="X24" i="14"/>
  <c r="AA42" i="14"/>
  <c r="AA24" i="14"/>
  <c r="Z47" i="15"/>
  <c r="Z52" i="15"/>
  <c r="M39" i="10"/>
  <c r="Q42" i="14"/>
  <c r="Q24" i="14"/>
  <c r="R42" i="14"/>
  <c r="R24" i="14"/>
  <c r="R33" i="14"/>
  <c r="AK85" i="16"/>
  <c r="S47" i="15"/>
  <c r="T33" i="14"/>
  <c r="T28" i="14"/>
  <c r="N32" i="10"/>
  <c r="AM22" i="7"/>
  <c r="M55" i="10"/>
  <c r="N52" i="10"/>
  <c r="N55" i="10"/>
  <c r="AA60" i="10"/>
  <c r="N59" i="10"/>
  <c r="W42" i="14"/>
  <c r="W24" i="14"/>
  <c r="U28" i="14"/>
  <c r="N38" i="10"/>
  <c r="N33" i="10"/>
  <c r="AE47" i="15"/>
  <c r="E21" i="22"/>
  <c r="F39" i="22"/>
  <c r="D45" i="44"/>
  <c r="F46" i="44"/>
  <c r="AF33" i="14"/>
  <c r="Y42" i="14"/>
  <c r="Y24" i="14"/>
  <c r="AB42" i="14"/>
  <c r="AB24" i="14"/>
  <c r="D22" i="22"/>
  <c r="AE48" i="15"/>
  <c r="E40" i="22"/>
  <c r="D21" i="22"/>
  <c r="AD47" i="15"/>
  <c r="AE33" i="14"/>
  <c r="W27" i="16"/>
  <c r="W28" i="16"/>
  <c r="X87" i="16"/>
  <c r="V42" i="14"/>
  <c r="V24" i="14"/>
  <c r="AM25" i="8"/>
  <c r="AL80" i="16"/>
  <c r="Z42" i="14"/>
  <c r="Z24" i="14"/>
  <c r="M34" i="10"/>
  <c r="AL23" i="7"/>
  <c r="AL82" i="16"/>
  <c r="AL81" i="16"/>
  <c r="AI35" i="15"/>
  <c r="AJ27" i="7"/>
  <c r="AJ17" i="14"/>
  <c r="AC52" i="15"/>
  <c r="AD58" i="16"/>
  <c r="AI27" i="7"/>
  <c r="AH35" i="15"/>
  <c r="AI17" i="14"/>
  <c r="AF48" i="15"/>
  <c r="F40" i="22"/>
  <c r="E22" i="22"/>
  <c r="AG47" i="15"/>
  <c r="AH42" i="16"/>
  <c r="AH36" i="21"/>
  <c r="AH33" i="14"/>
  <c r="AK17" i="14"/>
  <c r="AK18" i="14"/>
  <c r="AK27" i="7"/>
  <c r="AG46" i="16"/>
  <c r="AG52" i="16"/>
  <c r="AG19" i="21"/>
  <c r="AG49" i="15"/>
  <c r="G41" i="22"/>
  <c r="AG28" i="14"/>
  <c r="AG56" i="16"/>
  <c r="F23" i="22"/>
  <c r="AD46" i="16"/>
  <c r="AD52" i="16"/>
  <c r="AD19" i="21"/>
  <c r="O43" i="16"/>
  <c r="AC26" i="14"/>
  <c r="AC28" i="14"/>
  <c r="AC14" i="21"/>
  <c r="M17" i="43"/>
  <c r="AE43" i="16"/>
  <c r="G23" i="22"/>
  <c r="AH43" i="16"/>
  <c r="E23" i="22"/>
  <c r="AF43" i="16"/>
  <c r="AF46" i="16"/>
  <c r="AF52" i="16"/>
  <c r="AF19" i="21"/>
  <c r="R47" i="15"/>
  <c r="R52" i="15"/>
  <c r="D23" i="22"/>
  <c r="AE49" i="15"/>
  <c r="E41" i="22"/>
  <c r="AE28" i="14"/>
  <c r="F46" i="43"/>
  <c r="F48" i="43"/>
  <c r="F266" i="43"/>
  <c r="S28" i="14"/>
  <c r="R16" i="44"/>
  <c r="AF28" i="14"/>
  <c r="G46" i="43"/>
  <c r="G48" i="43"/>
  <c r="G223" i="43"/>
  <c r="AB26" i="14"/>
  <c r="AF49" i="15"/>
  <c r="F41" i="22"/>
  <c r="E46" i="43"/>
  <c r="E48" i="43"/>
  <c r="AD14" i="21"/>
  <c r="C24" i="22"/>
  <c r="L26" i="43"/>
  <c r="AD56" i="16"/>
  <c r="P28" i="14"/>
  <c r="P14" i="21"/>
  <c r="O26" i="14"/>
  <c r="O28" i="14"/>
  <c r="S49" i="15"/>
  <c r="AB49" i="15"/>
  <c r="AB52" i="15"/>
  <c r="AB54" i="15"/>
  <c r="AC15" i="21"/>
  <c r="AA33" i="14"/>
  <c r="X47" i="15"/>
  <c r="X52" i="15"/>
  <c r="Y33" i="14"/>
  <c r="Y28" i="14"/>
  <c r="Y47" i="15"/>
  <c r="Y52" i="15"/>
  <c r="Z33" i="14"/>
  <c r="Z28" i="14"/>
  <c r="W47" i="15"/>
  <c r="W52" i="15"/>
  <c r="X28" i="14"/>
  <c r="X33" i="14"/>
  <c r="U33" i="14"/>
  <c r="Q47" i="15"/>
  <c r="Q52" i="15"/>
  <c r="AA28" i="14"/>
  <c r="AA14" i="21"/>
  <c r="H41" i="22"/>
  <c r="AH28" i="14"/>
  <c r="I46" i="43"/>
  <c r="I48" i="43"/>
  <c r="I110" i="43"/>
  <c r="V47" i="15"/>
  <c r="V52" i="15"/>
  <c r="W28" i="14"/>
  <c r="W33" i="14"/>
  <c r="R28" i="14"/>
  <c r="Q16" i="44"/>
  <c r="AH48" i="15"/>
  <c r="H40" i="22"/>
  <c r="G22" i="22"/>
  <c r="AC42" i="14"/>
  <c r="AL24" i="7"/>
  <c r="AL17" i="14"/>
  <c r="V34" i="16"/>
  <c r="V35" i="16"/>
  <c r="W88" i="16"/>
  <c r="AL85" i="16"/>
  <c r="E39" i="22"/>
  <c r="AA47" i="15"/>
  <c r="AA52" i="15"/>
  <c r="AB33" i="14"/>
  <c r="M63" i="10"/>
  <c r="N39" i="10"/>
  <c r="I17" i="22"/>
  <c r="AJ18" i="14"/>
  <c r="U47" i="15"/>
  <c r="U52" i="15"/>
  <c r="V28" i="14"/>
  <c r="V33" i="14"/>
  <c r="D46" i="44"/>
  <c r="F47" i="44"/>
  <c r="X27" i="16"/>
  <c r="X28" i="16"/>
  <c r="Y87" i="16"/>
  <c r="N34" i="10"/>
  <c r="AM23" i="7"/>
  <c r="AM82" i="16"/>
  <c r="H17" i="22"/>
  <c r="AI18" i="14"/>
  <c r="P47" i="15"/>
  <c r="AC24" i="14"/>
  <c r="Q33" i="14"/>
  <c r="Q28" i="14"/>
  <c r="AN25" i="8"/>
  <c r="AM80" i="16"/>
  <c r="T14" i="21"/>
  <c r="S16" i="44"/>
  <c r="T56" i="16"/>
  <c r="T16" i="44"/>
  <c r="U14" i="21"/>
  <c r="U56" i="16"/>
  <c r="G39" i="22"/>
  <c r="C42" i="22"/>
  <c r="AC54" i="15"/>
  <c r="D39" i="22"/>
  <c r="AD52" i="15"/>
  <c r="N63" i="10"/>
  <c r="AM81" i="16"/>
  <c r="J17" i="22"/>
  <c r="AH46" i="16"/>
  <c r="AH52" i="16"/>
  <c r="AH19" i="21"/>
  <c r="P52" i="15"/>
  <c r="P54" i="15"/>
  <c r="AG52" i="15"/>
  <c r="G42" i="22"/>
  <c r="H46" i="43"/>
  <c r="H48" i="43"/>
  <c r="F66" i="43"/>
  <c r="F24" i="22"/>
  <c r="S14" i="21"/>
  <c r="S26" i="21"/>
  <c r="AA56" i="16"/>
  <c r="AG14" i="21"/>
  <c r="AG37" i="21"/>
  <c r="Z16" i="44"/>
  <c r="D24" i="22"/>
  <c r="M26" i="43"/>
  <c r="AL27" i="7"/>
  <c r="AM24" i="7"/>
  <c r="AM27" i="7"/>
  <c r="S56" i="16"/>
  <c r="AE46" i="16"/>
  <c r="AE52" i="16"/>
  <c r="AE19" i="21"/>
  <c r="AB43" i="16"/>
  <c r="AB46" i="16"/>
  <c r="AB52" i="16"/>
  <c r="AB19" i="21"/>
  <c r="AC56" i="16"/>
  <c r="P43" i="16"/>
  <c r="O46" i="16"/>
  <c r="F110" i="43"/>
  <c r="AE52" i="15"/>
  <c r="E42" i="22"/>
  <c r="F226" i="43"/>
  <c r="F112" i="43"/>
  <c r="AC37" i="21"/>
  <c r="F225" i="43"/>
  <c r="AC26" i="21"/>
  <c r="AF56" i="16"/>
  <c r="G266" i="43"/>
  <c r="G226" i="43"/>
  <c r="G227" i="43"/>
  <c r="G50" i="43"/>
  <c r="G267" i="43"/>
  <c r="G224" i="43"/>
  <c r="G113" i="43"/>
  <c r="G111" i="43"/>
  <c r="G110" i="43"/>
  <c r="G225" i="43"/>
  <c r="E24" i="22"/>
  <c r="G112" i="43"/>
  <c r="AF14" i="21"/>
  <c r="AF26" i="21"/>
  <c r="AK35" i="15"/>
  <c r="F50" i="43"/>
  <c r="F267" i="43"/>
  <c r="F227" i="43"/>
  <c r="F113" i="43"/>
  <c r="F224" i="43"/>
  <c r="F111" i="43"/>
  <c r="AE14" i="21"/>
  <c r="AE37" i="21"/>
  <c r="F223" i="43"/>
  <c r="AE56" i="16"/>
  <c r="AB28" i="14"/>
  <c r="AA16" i="44"/>
  <c r="AF52" i="15"/>
  <c r="F42" i="22"/>
  <c r="O16" i="44"/>
  <c r="O56" i="16"/>
  <c r="O14" i="21"/>
  <c r="L17" i="43"/>
  <c r="P37" i="21"/>
  <c r="P26" i="21"/>
  <c r="P28" i="21"/>
  <c r="AE57" i="16"/>
  <c r="AD59" i="16"/>
  <c r="AD26" i="21"/>
  <c r="AD37" i="21"/>
  <c r="E266" i="43"/>
  <c r="E226" i="43"/>
  <c r="E111" i="43"/>
  <c r="E153" i="43"/>
  <c r="E181" i="43"/>
  <c r="E227" i="43"/>
  <c r="E113" i="43"/>
  <c r="E155" i="43"/>
  <c r="E183" i="43"/>
  <c r="E110" i="43"/>
  <c r="E152" i="43"/>
  <c r="E180" i="43"/>
  <c r="E50" i="43"/>
  <c r="E112" i="43"/>
  <c r="E154" i="43"/>
  <c r="E182" i="43"/>
  <c r="E224" i="43"/>
  <c r="E225" i="43"/>
  <c r="E223" i="43"/>
  <c r="E49" i="43"/>
  <c r="E167" i="43"/>
  <c r="S52" i="15"/>
  <c r="I113" i="43"/>
  <c r="I226" i="43"/>
  <c r="I224" i="43"/>
  <c r="I266" i="43"/>
  <c r="Y14" i="21"/>
  <c r="Y56" i="16"/>
  <c r="W16" i="44"/>
  <c r="I227" i="43"/>
  <c r="I111" i="43"/>
  <c r="I225" i="43"/>
  <c r="AH56" i="16"/>
  <c r="I112" i="43"/>
  <c r="I50" i="43"/>
  <c r="I232" i="43"/>
  <c r="X56" i="16"/>
  <c r="X14" i="21"/>
  <c r="X16" i="44"/>
  <c r="V16" i="44"/>
  <c r="Y16" i="44"/>
  <c r="Z56" i="16"/>
  <c r="Z14" i="21"/>
  <c r="AH14" i="21"/>
  <c r="AH37" i="21"/>
  <c r="I223" i="43"/>
  <c r="R56" i="16"/>
  <c r="R14" i="21"/>
  <c r="R26" i="21"/>
  <c r="G24" i="22"/>
  <c r="U16" i="44"/>
  <c r="W14" i="21"/>
  <c r="W56" i="16"/>
  <c r="X88" i="16"/>
  <c r="W34" i="16"/>
  <c r="W35" i="16"/>
  <c r="AM85" i="16"/>
  <c r="U37" i="21"/>
  <c r="U26" i="21"/>
  <c r="V14" i="21"/>
  <c r="V56" i="16"/>
  <c r="AD15" i="21"/>
  <c r="E42" i="43"/>
  <c r="AD13" i="16"/>
  <c r="AD19" i="16"/>
  <c r="T26" i="21"/>
  <c r="T37" i="21"/>
  <c r="D47" i="44"/>
  <c r="F48" i="44"/>
  <c r="AA26" i="21"/>
  <c r="AA37" i="21"/>
  <c r="Y27" i="16"/>
  <c r="Y28" i="16"/>
  <c r="Z87" i="16"/>
  <c r="K17" i="22"/>
  <c r="AL18" i="14"/>
  <c r="P16" i="44"/>
  <c r="Q14" i="21"/>
  <c r="Q56" i="16"/>
  <c r="D42" i="22"/>
  <c r="AD54" i="15"/>
  <c r="AC35" i="43"/>
  <c r="E212" i="43"/>
  <c r="Q12" i="15"/>
  <c r="Q19" i="15"/>
  <c r="Q54" i="15"/>
  <c r="R12" i="15"/>
  <c r="R19" i="15"/>
  <c r="R54" i="15"/>
  <c r="Q15" i="21"/>
  <c r="Q13" i="16"/>
  <c r="Q19" i="16"/>
  <c r="Q37" i="16"/>
  <c r="P17" i="44"/>
  <c r="P18" i="44"/>
  <c r="F61" i="43"/>
  <c r="F59" i="43"/>
  <c r="F71" i="43"/>
  <c r="F72" i="43"/>
  <c r="H50" i="43"/>
  <c r="G56" i="43"/>
  <c r="K301" i="43"/>
  <c r="H226" i="43"/>
  <c r="AM17" i="14"/>
  <c r="L17" i="22"/>
  <c r="AL35" i="15"/>
  <c r="H111" i="43"/>
  <c r="AA111" i="43"/>
  <c r="F57" i="43"/>
  <c r="F68" i="43"/>
  <c r="H224" i="43"/>
  <c r="F56" i="43"/>
  <c r="H16" i="43"/>
  <c r="F67" i="43"/>
  <c r="H18" i="43"/>
  <c r="H113" i="43"/>
  <c r="AA113" i="43"/>
  <c r="H227" i="43"/>
  <c r="F60" i="43"/>
  <c r="F63" i="43"/>
  <c r="F62" i="43"/>
  <c r="F64" i="43"/>
  <c r="H110" i="43"/>
  <c r="AA110" i="43"/>
  <c r="F124" i="43"/>
  <c r="H223" i="43"/>
  <c r="H225" i="43"/>
  <c r="F58" i="43"/>
  <c r="F70" i="43"/>
  <c r="AA48" i="43"/>
  <c r="AC48" i="43"/>
  <c r="AE48" i="43"/>
  <c r="F282" i="43"/>
  <c r="F193" i="43"/>
  <c r="F204" i="43"/>
  <c r="H22" i="43"/>
  <c r="H112" i="43"/>
  <c r="AA112" i="43"/>
  <c r="H266" i="43"/>
  <c r="F65" i="43"/>
  <c r="F69" i="43"/>
  <c r="S37" i="21"/>
  <c r="G117" i="43"/>
  <c r="G118" i="43"/>
  <c r="G233" i="43"/>
  <c r="AG26" i="21"/>
  <c r="F117" i="43"/>
  <c r="F231" i="43"/>
  <c r="AB14" i="21"/>
  <c r="AB37" i="21"/>
  <c r="AC43" i="16"/>
  <c r="AC46" i="16"/>
  <c r="AC52" i="16"/>
  <c r="AC19" i="21"/>
  <c r="O52" i="16"/>
  <c r="O19" i="21"/>
  <c r="O23" i="21"/>
  <c r="Q43" i="16"/>
  <c r="P46" i="16"/>
  <c r="F233" i="43"/>
  <c r="F118" i="43"/>
  <c r="F115" i="43"/>
  <c r="F116" i="43"/>
  <c r="F229" i="43"/>
  <c r="F232" i="43"/>
  <c r="AB56" i="16"/>
  <c r="F230" i="43"/>
  <c r="G231" i="43"/>
  <c r="AF37" i="21"/>
  <c r="G115" i="43"/>
  <c r="G116" i="43"/>
  <c r="G232" i="43"/>
  <c r="AE26" i="21"/>
  <c r="AF57" i="16"/>
  <c r="AG57" i="16"/>
  <c r="F152" i="43"/>
  <c r="G152" i="43"/>
  <c r="H152" i="43"/>
  <c r="H180" i="43"/>
  <c r="G229" i="43"/>
  <c r="G230" i="43"/>
  <c r="F154" i="43"/>
  <c r="G154" i="43"/>
  <c r="R37" i="21"/>
  <c r="I231" i="43"/>
  <c r="F153" i="43"/>
  <c r="G153" i="43"/>
  <c r="I116" i="43"/>
  <c r="I229" i="43"/>
  <c r="I115" i="43"/>
  <c r="I230" i="43"/>
  <c r="I117" i="43"/>
  <c r="I233" i="43"/>
  <c r="I118" i="43"/>
  <c r="F155" i="43"/>
  <c r="G155" i="43"/>
  <c r="G183" i="43"/>
  <c r="AE59" i="16"/>
  <c r="AE61" i="16"/>
  <c r="F39" i="43"/>
  <c r="I267" i="43"/>
  <c r="F49" i="43"/>
  <c r="O26" i="21"/>
  <c r="O37" i="21"/>
  <c r="O28" i="21"/>
  <c r="E267" i="43"/>
  <c r="E231" i="43"/>
  <c r="E117" i="43"/>
  <c r="E159" i="43"/>
  <c r="E187" i="43"/>
  <c r="E233" i="43"/>
  <c r="E116" i="43"/>
  <c r="E158" i="43"/>
  <c r="E186" i="43"/>
  <c r="E232" i="43"/>
  <c r="E229" i="43"/>
  <c r="E230" i="43"/>
  <c r="E118" i="43"/>
  <c r="E160" i="43"/>
  <c r="E188" i="43"/>
  <c r="E115" i="43"/>
  <c r="E157" i="43"/>
  <c r="E185" i="43"/>
  <c r="E51" i="43"/>
  <c r="P56" i="16"/>
  <c r="Q57" i="16"/>
  <c r="R57" i="16"/>
  <c r="O59" i="16"/>
  <c r="AD61" i="16"/>
  <c r="E39" i="43"/>
  <c r="AD20" i="21"/>
  <c r="AD27" i="21"/>
  <c r="Y26" i="21"/>
  <c r="Y37" i="21"/>
  <c r="Z37" i="21"/>
  <c r="Z26" i="21"/>
  <c r="AH26" i="21"/>
  <c r="X37" i="21"/>
  <c r="X26" i="21"/>
  <c r="W37" i="21"/>
  <c r="W26" i="21"/>
  <c r="X34" i="16"/>
  <c r="X35" i="16"/>
  <c r="Y88" i="16"/>
  <c r="AD23" i="21"/>
  <c r="AD37" i="16"/>
  <c r="E264" i="43"/>
  <c r="E101" i="43"/>
  <c r="E215" i="43"/>
  <c r="E211" i="43"/>
  <c r="E214" i="43"/>
  <c r="E43" i="43"/>
  <c r="E103" i="43"/>
  <c r="E100" i="43"/>
  <c r="E102" i="43"/>
  <c r="E213" i="43"/>
  <c r="E44" i="43"/>
  <c r="Q26" i="21"/>
  <c r="Q37" i="21"/>
  <c r="D48" i="44"/>
  <c r="F49" i="44"/>
  <c r="Z27" i="16"/>
  <c r="Z28" i="16"/>
  <c r="AA87" i="16"/>
  <c r="F42" i="43"/>
  <c r="AD35" i="43"/>
  <c r="AE15" i="21"/>
  <c r="AE12" i="15"/>
  <c r="V37" i="21"/>
  <c r="V26" i="21"/>
  <c r="I16" i="43"/>
  <c r="L7" i="21"/>
  <c r="Y7" i="21"/>
  <c r="AL7" i="21"/>
  <c r="R13" i="16"/>
  <c r="R19" i="16"/>
  <c r="R37" i="16"/>
  <c r="Q17" i="44"/>
  <c r="Q18" i="44"/>
  <c r="R15" i="21"/>
  <c r="P21" i="44"/>
  <c r="E168" i="43"/>
  <c r="E165" i="43"/>
  <c r="AE19" i="15"/>
  <c r="AE54" i="15"/>
  <c r="H116" i="43"/>
  <c r="AA116" i="43"/>
  <c r="AC116" i="43"/>
  <c r="AE116" i="43"/>
  <c r="G284" i="43"/>
  <c r="G67" i="43"/>
  <c r="G63" i="43"/>
  <c r="G59" i="43"/>
  <c r="G62" i="43"/>
  <c r="G66" i="43"/>
  <c r="G70" i="43"/>
  <c r="H231" i="43"/>
  <c r="G57" i="43"/>
  <c r="AF59" i="16"/>
  <c r="AF20" i="21"/>
  <c r="AF27" i="21"/>
  <c r="H118" i="43"/>
  <c r="AA118" i="43"/>
  <c r="G127" i="43"/>
  <c r="H117" i="43"/>
  <c r="AA117" i="43"/>
  <c r="AC117" i="43"/>
  <c r="AE117" i="43"/>
  <c r="G285" i="43"/>
  <c r="I26" i="43"/>
  <c r="H230" i="43"/>
  <c r="G64" i="43"/>
  <c r="G204" i="43"/>
  <c r="I22" i="43"/>
  <c r="G65" i="43"/>
  <c r="AA50" i="43"/>
  <c r="G123" i="43"/>
  <c r="G193" i="43"/>
  <c r="H115" i="43"/>
  <c r="AA115" i="43"/>
  <c r="AC115" i="43"/>
  <c r="AE115" i="43"/>
  <c r="G283" i="43"/>
  <c r="H229" i="43"/>
  <c r="H233" i="43"/>
  <c r="G72" i="43"/>
  <c r="G60" i="43"/>
  <c r="G69" i="43"/>
  <c r="G68" i="43"/>
  <c r="H232" i="43"/>
  <c r="H267" i="43"/>
  <c r="G71" i="43"/>
  <c r="G58" i="43"/>
  <c r="G61" i="43"/>
  <c r="AM18" i="14"/>
  <c r="H154" i="43"/>
  <c r="H182" i="43"/>
  <c r="H153" i="43"/>
  <c r="I153" i="43"/>
  <c r="F123" i="43"/>
  <c r="AC110" i="43"/>
  <c r="AE110" i="43"/>
  <c r="F283" i="43"/>
  <c r="AB26" i="21"/>
  <c r="G182" i="43"/>
  <c r="F182" i="43"/>
  <c r="P52" i="16"/>
  <c r="P19" i="21"/>
  <c r="P23" i="21"/>
  <c r="R43" i="16"/>
  <c r="Q46" i="16"/>
  <c r="F180" i="43"/>
  <c r="G180" i="43"/>
  <c r="AH57" i="16"/>
  <c r="AI57" i="16"/>
  <c r="AG59" i="16"/>
  <c r="AG20" i="21"/>
  <c r="AG27" i="21"/>
  <c r="F181" i="43"/>
  <c r="G181" i="43"/>
  <c r="F183" i="43"/>
  <c r="AE20" i="21"/>
  <c r="AE27" i="21"/>
  <c r="F157" i="43"/>
  <c r="G157" i="43"/>
  <c r="F160" i="43"/>
  <c r="G160" i="43"/>
  <c r="F159" i="43"/>
  <c r="G159" i="43"/>
  <c r="Q59" i="16"/>
  <c r="Q20" i="21"/>
  <c r="Q27" i="21"/>
  <c r="F158" i="43"/>
  <c r="G158" i="43"/>
  <c r="F51" i="43"/>
  <c r="O20" i="21"/>
  <c r="O61" i="16"/>
  <c r="F167" i="43"/>
  <c r="G49" i="43"/>
  <c r="AC57" i="16"/>
  <c r="AC59" i="16"/>
  <c r="P59" i="16"/>
  <c r="Y34" i="16"/>
  <c r="Y35" i="16"/>
  <c r="Z88" i="16"/>
  <c r="AC111" i="43"/>
  <c r="AE111" i="43"/>
  <c r="F284" i="43"/>
  <c r="F125" i="43"/>
  <c r="E142" i="43"/>
  <c r="E170" i="43"/>
  <c r="S15" i="21"/>
  <c r="S13" i="16"/>
  <c r="S19" i="16"/>
  <c r="R17" i="44"/>
  <c r="S12" i="15"/>
  <c r="S19" i="15"/>
  <c r="S54" i="15"/>
  <c r="F127" i="43"/>
  <c r="AC113" i="43"/>
  <c r="AE113" i="43"/>
  <c r="F286" i="43"/>
  <c r="H155" i="43"/>
  <c r="H183" i="43"/>
  <c r="E145" i="43"/>
  <c r="E173" i="43"/>
  <c r="E143" i="43"/>
  <c r="E171" i="43"/>
  <c r="AA27" i="16"/>
  <c r="AA28" i="16"/>
  <c r="AB87" i="16"/>
  <c r="Q21" i="44"/>
  <c r="S57" i="16"/>
  <c r="R59" i="16"/>
  <c r="F215" i="43"/>
  <c r="F212" i="43"/>
  <c r="F214" i="43"/>
  <c r="F264" i="43"/>
  <c r="F103" i="43"/>
  <c r="F213" i="43"/>
  <c r="F101" i="43"/>
  <c r="F211" i="43"/>
  <c r="F102" i="43"/>
  <c r="F44" i="43"/>
  <c r="F43" i="43"/>
  <c r="F100" i="43"/>
  <c r="E218" i="43"/>
  <c r="E219" i="43"/>
  <c r="E265" i="43"/>
  <c r="E45" i="43"/>
  <c r="E105" i="43"/>
  <c r="E106" i="43"/>
  <c r="E221" i="43"/>
  <c r="E108" i="43"/>
  <c r="E107" i="43"/>
  <c r="E220" i="43"/>
  <c r="E217" i="43"/>
  <c r="F126" i="43"/>
  <c r="AC112" i="43"/>
  <c r="AE112" i="43"/>
  <c r="F285" i="43"/>
  <c r="H26" i="43"/>
  <c r="I152" i="43"/>
  <c r="I180" i="43"/>
  <c r="Q18" i="21"/>
  <c r="Q34" i="21"/>
  <c r="D49" i="44"/>
  <c r="F50" i="44"/>
  <c r="E144" i="43"/>
  <c r="E172" i="43"/>
  <c r="AD18" i="21"/>
  <c r="AD34" i="21"/>
  <c r="E38" i="43"/>
  <c r="E40" i="43"/>
  <c r="AD63" i="16"/>
  <c r="I18" i="43"/>
  <c r="N7" i="21"/>
  <c r="AA7" i="21"/>
  <c r="F165" i="43"/>
  <c r="F168" i="43"/>
  <c r="E166" i="43"/>
  <c r="H181" i="43"/>
  <c r="AF15" i="21"/>
  <c r="AF13" i="16"/>
  <c r="AF19" i="16"/>
  <c r="AF23" i="21"/>
  <c r="G42" i="43"/>
  <c r="AE35" i="43"/>
  <c r="AF12" i="15"/>
  <c r="H158" i="43"/>
  <c r="H186" i="43"/>
  <c r="AF61" i="16"/>
  <c r="G39" i="43"/>
  <c r="H157" i="43"/>
  <c r="H185" i="43"/>
  <c r="H160" i="43"/>
  <c r="H188" i="43"/>
  <c r="H159" i="43"/>
  <c r="H187" i="43"/>
  <c r="AC50" i="43"/>
  <c r="AE50" i="43"/>
  <c r="G282" i="43"/>
  <c r="I154" i="43"/>
  <c r="I181" i="43"/>
  <c r="AC118" i="43"/>
  <c r="AE118" i="43"/>
  <c r="G286" i="43"/>
  <c r="AH59" i="16"/>
  <c r="AH61" i="16"/>
  <c r="I39" i="43"/>
  <c r="G188" i="43"/>
  <c r="F188" i="43"/>
  <c r="F185" i="43"/>
  <c r="G185" i="43"/>
  <c r="AG61" i="16"/>
  <c r="H39" i="43"/>
  <c r="Q52" i="16"/>
  <c r="Q19" i="21"/>
  <c r="Q21" i="21"/>
  <c r="Q23" i="21"/>
  <c r="S43" i="16"/>
  <c r="S46" i="16"/>
  <c r="S52" i="16"/>
  <c r="S19" i="21"/>
  <c r="R46" i="16"/>
  <c r="F187" i="43"/>
  <c r="G125" i="43"/>
  <c r="F186" i="43"/>
  <c r="G126" i="43"/>
  <c r="G186" i="43"/>
  <c r="F145" i="43"/>
  <c r="F173" i="43"/>
  <c r="G187" i="43"/>
  <c r="G124" i="43"/>
  <c r="AC20" i="21"/>
  <c r="AC27" i="21"/>
  <c r="AC61" i="16"/>
  <c r="G167" i="43"/>
  <c r="H49" i="43"/>
  <c r="O19" i="44"/>
  <c r="O63" i="16"/>
  <c r="O27" i="21"/>
  <c r="O21" i="21"/>
  <c r="G51" i="43"/>
  <c r="H168" i="43"/>
  <c r="P61" i="16"/>
  <c r="P63" i="16"/>
  <c r="P20" i="21"/>
  <c r="F143" i="43"/>
  <c r="F171" i="43"/>
  <c r="F142" i="43"/>
  <c r="F170" i="43"/>
  <c r="Z34" i="16"/>
  <c r="Z35" i="16"/>
  <c r="AA88" i="16"/>
  <c r="F144" i="43"/>
  <c r="F172" i="43"/>
  <c r="R20" i="21"/>
  <c r="R27" i="21"/>
  <c r="E148" i="43"/>
  <c r="E176" i="43"/>
  <c r="I182" i="43"/>
  <c r="T57" i="16"/>
  <c r="S59" i="16"/>
  <c r="I155" i="43"/>
  <c r="I183" i="43"/>
  <c r="Q28" i="21"/>
  <c r="E147" i="43"/>
  <c r="E175" i="43"/>
  <c r="AD65" i="16"/>
  <c r="F45" i="43"/>
  <c r="T15" i="21"/>
  <c r="S17" i="44"/>
  <c r="T13" i="16"/>
  <c r="T19" i="16"/>
  <c r="T12" i="15"/>
  <c r="T19" i="15"/>
  <c r="T54" i="15"/>
  <c r="AD28" i="21"/>
  <c r="AD21" i="21"/>
  <c r="R18" i="21"/>
  <c r="R34" i="21"/>
  <c r="R18" i="44"/>
  <c r="R21" i="44"/>
  <c r="E149" i="43"/>
  <c r="E177" i="43"/>
  <c r="AC87" i="16"/>
  <c r="AB27" i="16"/>
  <c r="AB28" i="16"/>
  <c r="S37" i="16"/>
  <c r="D50" i="44"/>
  <c r="F51" i="44"/>
  <c r="E150" i="43"/>
  <c r="E178" i="43"/>
  <c r="F218" i="43"/>
  <c r="F219" i="43"/>
  <c r="F265" i="43"/>
  <c r="F105" i="43"/>
  <c r="F107" i="43"/>
  <c r="F221" i="43"/>
  <c r="F108" i="43"/>
  <c r="F217" i="43"/>
  <c r="F220" i="43"/>
  <c r="F106" i="43"/>
  <c r="G168" i="43"/>
  <c r="F166" i="43"/>
  <c r="I158" i="43"/>
  <c r="G100" i="43"/>
  <c r="G101" i="43"/>
  <c r="G143" i="43"/>
  <c r="G171" i="43"/>
  <c r="G102" i="43"/>
  <c r="G144" i="43"/>
  <c r="G172" i="43"/>
  <c r="G264" i="43"/>
  <c r="G43" i="43"/>
  <c r="G213" i="43"/>
  <c r="AF19" i="15"/>
  <c r="AF54" i="15"/>
  <c r="G44" i="43"/>
  <c r="G217" i="43"/>
  <c r="G211" i="43"/>
  <c r="G215" i="43"/>
  <c r="G103" i="43"/>
  <c r="G145" i="43"/>
  <c r="G173" i="43"/>
  <c r="G214" i="43"/>
  <c r="G212" i="43"/>
  <c r="I157" i="43"/>
  <c r="I185" i="43"/>
  <c r="I160" i="43"/>
  <c r="I188" i="43"/>
  <c r="I159" i="43"/>
  <c r="I187" i="43"/>
  <c r="AH20" i="21"/>
  <c r="AH27" i="21"/>
  <c r="S23" i="21"/>
  <c r="Q61" i="16"/>
  <c r="P19" i="44"/>
  <c r="R52" i="16"/>
  <c r="R23" i="21"/>
  <c r="F148" i="43"/>
  <c r="F176" i="43"/>
  <c r="O64" i="16"/>
  <c r="O65" i="16"/>
  <c r="O20" i="44"/>
  <c r="P27" i="21"/>
  <c r="P21" i="21"/>
  <c r="H167" i="43"/>
  <c r="I49" i="43"/>
  <c r="I167" i="43"/>
  <c r="P65" i="16"/>
  <c r="P64" i="16"/>
  <c r="H51" i="43"/>
  <c r="I168" i="43"/>
  <c r="G142" i="43"/>
  <c r="G170" i="43"/>
  <c r="F147" i="43"/>
  <c r="F175" i="43"/>
  <c r="I186" i="43"/>
  <c r="AA34" i="16"/>
  <c r="AA35" i="16"/>
  <c r="AB88" i="16"/>
  <c r="F149" i="43"/>
  <c r="F177" i="43"/>
  <c r="F150" i="43"/>
  <c r="F178" i="43"/>
  <c r="D51" i="44"/>
  <c r="F52" i="44"/>
  <c r="AE87" i="16"/>
  <c r="AC27" i="16"/>
  <c r="U15" i="21"/>
  <c r="T17" i="44"/>
  <c r="U13" i="16"/>
  <c r="U19" i="16"/>
  <c r="U12" i="15"/>
  <c r="U19" i="15"/>
  <c r="U54" i="15"/>
  <c r="S18" i="21"/>
  <c r="S34" i="21"/>
  <c r="T23" i="21"/>
  <c r="T37" i="16"/>
  <c r="S61" i="16"/>
  <c r="R19" i="44"/>
  <c r="S20" i="21"/>
  <c r="S27" i="21"/>
  <c r="S18" i="44"/>
  <c r="S21" i="44"/>
  <c r="U57" i="16"/>
  <c r="T59" i="16"/>
  <c r="R28" i="21"/>
  <c r="G165" i="43"/>
  <c r="G107" i="43"/>
  <c r="G149" i="43"/>
  <c r="G177" i="43"/>
  <c r="G105" i="43"/>
  <c r="G147" i="43"/>
  <c r="G265" i="43"/>
  <c r="G45" i="43"/>
  <c r="G221" i="43"/>
  <c r="H42" i="43"/>
  <c r="AG15" i="21"/>
  <c r="AG13" i="16"/>
  <c r="AG19" i="16"/>
  <c r="AG23" i="21"/>
  <c r="AG12" i="15"/>
  <c r="AG19" i="15"/>
  <c r="AG54" i="15"/>
  <c r="G108" i="43"/>
  <c r="G150" i="43"/>
  <c r="G178" i="43"/>
  <c r="G218" i="43"/>
  <c r="G220" i="43"/>
  <c r="G106" i="43"/>
  <c r="G148" i="43"/>
  <c r="G176" i="43"/>
  <c r="G219" i="43"/>
  <c r="Q63" i="16"/>
  <c r="P20" i="44"/>
  <c r="R19" i="21"/>
  <c r="R21" i="21"/>
  <c r="R61" i="16"/>
  <c r="I51" i="43"/>
  <c r="J168" i="43"/>
  <c r="AB34" i="16"/>
  <c r="AB35" i="16"/>
  <c r="AC88" i="16"/>
  <c r="S28" i="21"/>
  <c r="S21" i="21"/>
  <c r="U17" i="44"/>
  <c r="V15" i="21"/>
  <c r="V13" i="16"/>
  <c r="V19" i="16"/>
  <c r="V12" i="15"/>
  <c r="V19" i="15"/>
  <c r="V54" i="15"/>
  <c r="T18" i="21"/>
  <c r="T34" i="21"/>
  <c r="U23" i="21"/>
  <c r="U37" i="16"/>
  <c r="T18" i="44"/>
  <c r="T21" i="44"/>
  <c r="AC28" i="16"/>
  <c r="AC75" i="16"/>
  <c r="AB75" i="16"/>
  <c r="AE27" i="16"/>
  <c r="AE28" i="16"/>
  <c r="AF87" i="16"/>
  <c r="T20" i="21"/>
  <c r="T27" i="21"/>
  <c r="T61" i="16"/>
  <c r="S19" i="44"/>
  <c r="V57" i="16"/>
  <c r="U59" i="16"/>
  <c r="S63" i="16"/>
  <c r="D52" i="44"/>
  <c r="F53" i="44"/>
  <c r="G166" i="43"/>
  <c r="AH12" i="15"/>
  <c r="I42" i="43"/>
  <c r="AH13" i="16"/>
  <c r="AH19" i="16"/>
  <c r="AH23" i="21"/>
  <c r="AH15" i="21"/>
  <c r="AF35" i="43"/>
  <c r="H212" i="43"/>
  <c r="H101" i="43"/>
  <c r="H143" i="43"/>
  <c r="H171" i="43"/>
  <c r="H103" i="43"/>
  <c r="H145" i="43"/>
  <c r="H173" i="43"/>
  <c r="H215" i="43"/>
  <c r="H264" i="43"/>
  <c r="H44" i="43"/>
  <c r="H213" i="43"/>
  <c r="H214" i="43"/>
  <c r="H100" i="43"/>
  <c r="H142" i="43"/>
  <c r="H43" i="43"/>
  <c r="H211" i="43"/>
  <c r="H102" i="43"/>
  <c r="H144" i="43"/>
  <c r="H172" i="43"/>
  <c r="Q64" i="16"/>
  <c r="Q65" i="16"/>
  <c r="Q19" i="44"/>
  <c r="R63" i="16"/>
  <c r="S64" i="16"/>
  <c r="AE88" i="16"/>
  <c r="AC34" i="16"/>
  <c r="G175" i="43"/>
  <c r="T63" i="16"/>
  <c r="W15" i="21"/>
  <c r="V17" i="44"/>
  <c r="W13" i="16"/>
  <c r="W19" i="16"/>
  <c r="W12" i="15"/>
  <c r="W19" i="15"/>
  <c r="W54" i="15"/>
  <c r="T28" i="21"/>
  <c r="T21" i="21"/>
  <c r="V23" i="21"/>
  <c r="V37" i="16"/>
  <c r="D53" i="44"/>
  <c r="F54" i="44"/>
  <c r="W57" i="16"/>
  <c r="V59" i="16"/>
  <c r="AA75" i="16"/>
  <c r="AF27" i="16"/>
  <c r="AF28" i="16"/>
  <c r="AG87" i="16"/>
  <c r="U18" i="44"/>
  <c r="U21" i="44"/>
  <c r="U20" i="21"/>
  <c r="U27" i="21"/>
  <c r="U61" i="16"/>
  <c r="T19" i="44"/>
  <c r="H170" i="43"/>
  <c r="U18" i="21"/>
  <c r="U34" i="21"/>
  <c r="S65" i="16"/>
  <c r="R20" i="44"/>
  <c r="I165" i="43"/>
  <c r="H165" i="43"/>
  <c r="D60" i="43"/>
  <c r="D57" i="43"/>
  <c r="D72" i="43"/>
  <c r="I211" i="43"/>
  <c r="I43" i="43"/>
  <c r="J165" i="43"/>
  <c r="I103" i="43"/>
  <c r="D71" i="43"/>
  <c r="D63" i="43"/>
  <c r="D67" i="43"/>
  <c r="F18" i="43"/>
  <c r="D56" i="43"/>
  <c r="F16" i="43"/>
  <c r="D62" i="43"/>
  <c r="D70" i="43"/>
  <c r="D68" i="43"/>
  <c r="D58" i="43"/>
  <c r="D61" i="43"/>
  <c r="I264" i="43"/>
  <c r="I213" i="43"/>
  <c r="I102" i="43"/>
  <c r="AA42" i="43"/>
  <c r="AG35" i="43"/>
  <c r="D65" i="43"/>
  <c r="D66" i="43"/>
  <c r="D59" i="43"/>
  <c r="I212" i="43"/>
  <c r="I100" i="43"/>
  <c r="I44" i="43"/>
  <c r="E64" i="43"/>
  <c r="D204" i="43"/>
  <c r="F22" i="43"/>
  <c r="D64" i="43"/>
  <c r="D69" i="43"/>
  <c r="D193" i="43"/>
  <c r="I214" i="43"/>
  <c r="I215" i="43"/>
  <c r="I101" i="43"/>
  <c r="H220" i="43"/>
  <c r="H221" i="43"/>
  <c r="H107" i="43"/>
  <c r="H149" i="43"/>
  <c r="H177" i="43"/>
  <c r="H217" i="43"/>
  <c r="H218" i="43"/>
  <c r="H108" i="43"/>
  <c r="H150" i="43"/>
  <c r="H178" i="43"/>
  <c r="H106" i="43"/>
  <c r="H148" i="43"/>
  <c r="H176" i="43"/>
  <c r="H45" i="43"/>
  <c r="H219" i="43"/>
  <c r="H265" i="43"/>
  <c r="H105" i="43"/>
  <c r="H147" i="43"/>
  <c r="H175" i="43"/>
  <c r="R65" i="16"/>
  <c r="Q20" i="44"/>
  <c r="R64" i="16"/>
  <c r="AC72" i="16"/>
  <c r="AB72" i="16"/>
  <c r="AA72" i="16"/>
  <c r="Z72" i="16"/>
  <c r="AC35" i="16"/>
  <c r="AF88" i="16"/>
  <c r="AE34" i="16"/>
  <c r="AE35" i="16"/>
  <c r="X15" i="21"/>
  <c r="W17" i="44"/>
  <c r="X13" i="16"/>
  <c r="X19" i="16"/>
  <c r="X12" i="15"/>
  <c r="X19" i="15"/>
  <c r="X54" i="15"/>
  <c r="U28" i="21"/>
  <c r="U21" i="21"/>
  <c r="Z75" i="16"/>
  <c r="W23" i="21"/>
  <c r="W37" i="16"/>
  <c r="U63" i="16"/>
  <c r="V18" i="21"/>
  <c r="V34" i="21"/>
  <c r="V21" i="44"/>
  <c r="V18" i="44"/>
  <c r="V61" i="16"/>
  <c r="U19" i="44"/>
  <c r="V20" i="21"/>
  <c r="V27" i="21"/>
  <c r="AG27" i="16"/>
  <c r="AG28" i="16"/>
  <c r="AH87" i="16"/>
  <c r="X57" i="16"/>
  <c r="W59" i="16"/>
  <c r="T64" i="16"/>
  <c r="T65" i="16"/>
  <c r="S20" i="44"/>
  <c r="D54" i="44"/>
  <c r="K3" i="43"/>
  <c r="K4" i="43"/>
  <c r="F55" i="44"/>
  <c r="I166" i="43"/>
  <c r="H166" i="43"/>
  <c r="E66" i="43"/>
  <c r="I265" i="43"/>
  <c r="I108" i="43"/>
  <c r="E57" i="43"/>
  <c r="I217" i="43"/>
  <c r="I106" i="43"/>
  <c r="E63" i="43"/>
  <c r="I218" i="43"/>
  <c r="I105" i="43"/>
  <c r="E58" i="43"/>
  <c r="E68" i="43"/>
  <c r="I221" i="43"/>
  <c r="E56" i="43"/>
  <c r="E65" i="43"/>
  <c r="E67" i="43"/>
  <c r="G18" i="43"/>
  <c r="E69" i="43"/>
  <c r="I220" i="43"/>
  <c r="I219" i="43"/>
  <c r="I107" i="43"/>
  <c r="AA102" i="43"/>
  <c r="I144" i="43"/>
  <c r="I172" i="43"/>
  <c r="E62" i="43"/>
  <c r="E71" i="43"/>
  <c r="I45" i="43"/>
  <c r="J166" i="43"/>
  <c r="AA101" i="43"/>
  <c r="I143" i="43"/>
  <c r="I171" i="43"/>
  <c r="AA100" i="43"/>
  <c r="I142" i="43"/>
  <c r="I170" i="43"/>
  <c r="E193" i="43"/>
  <c r="E72" i="43"/>
  <c r="E70" i="43"/>
  <c r="E204" i="43"/>
  <c r="G22" i="43"/>
  <c r="AA103" i="43"/>
  <c r="I145" i="43"/>
  <c r="I173" i="43"/>
  <c r="E60" i="43"/>
  <c r="E59" i="43"/>
  <c r="D123" i="43"/>
  <c r="AC42" i="43"/>
  <c r="AE42" i="43"/>
  <c r="D282" i="43"/>
  <c r="E61" i="43"/>
  <c r="AA44" i="43"/>
  <c r="V63" i="16"/>
  <c r="V64" i="16"/>
  <c r="AF34" i="16"/>
  <c r="AF35" i="16"/>
  <c r="AF37" i="16"/>
  <c r="AF18" i="21"/>
  <c r="AF34" i="21"/>
  <c r="AG88" i="16"/>
  <c r="AH27" i="16"/>
  <c r="AH28" i="16"/>
  <c r="W18" i="21"/>
  <c r="W34" i="21"/>
  <c r="Y15" i="21"/>
  <c r="X17" i="44"/>
  <c r="Y13" i="16"/>
  <c r="Y19" i="16"/>
  <c r="Y12" i="15"/>
  <c r="Y19" i="15"/>
  <c r="Y54" i="15"/>
  <c r="D55" i="44"/>
  <c r="F56" i="44"/>
  <c r="V28" i="21"/>
  <c r="V21" i="21"/>
  <c r="X23" i="21"/>
  <c r="X37" i="16"/>
  <c r="W61" i="16"/>
  <c r="V19" i="44"/>
  <c r="W20" i="21"/>
  <c r="W27" i="21"/>
  <c r="Y75" i="16"/>
  <c r="Y72" i="16"/>
  <c r="W18" i="44"/>
  <c r="W21" i="44"/>
  <c r="Y57" i="16"/>
  <c r="X59" i="16"/>
  <c r="U65" i="16"/>
  <c r="U64" i="16"/>
  <c r="T20" i="44"/>
  <c r="G16" i="43"/>
  <c r="J301" i="43"/>
  <c r="AC44" i="43"/>
  <c r="AE44" i="43"/>
  <c r="E282" i="43"/>
  <c r="E123" i="43"/>
  <c r="AC100" i="43"/>
  <c r="AE100" i="43"/>
  <c r="D283" i="43"/>
  <c r="D124" i="43"/>
  <c r="AA107" i="43"/>
  <c r="I149" i="43"/>
  <c r="I177" i="43"/>
  <c r="AA108" i="43"/>
  <c r="I150" i="43"/>
  <c r="I178" i="43"/>
  <c r="AA106" i="43"/>
  <c r="I148" i="43"/>
  <c r="I176" i="43"/>
  <c r="D126" i="43"/>
  <c r="AC102" i="43"/>
  <c r="AE102" i="43"/>
  <c r="D285" i="43"/>
  <c r="F26" i="43"/>
  <c r="D127" i="43"/>
  <c r="AC103" i="43"/>
  <c r="AE103" i="43"/>
  <c r="D286" i="43"/>
  <c r="AC101" i="43"/>
  <c r="AE101" i="43"/>
  <c r="D284" i="43"/>
  <c r="D125" i="43"/>
  <c r="AA105" i="43"/>
  <c r="I147" i="43"/>
  <c r="I175" i="43"/>
  <c r="V65" i="16"/>
  <c r="AF63" i="16"/>
  <c r="AF65" i="16"/>
  <c r="U20" i="44"/>
  <c r="G38" i="43"/>
  <c r="G40" i="43"/>
  <c r="AG34" i="16"/>
  <c r="AG35" i="16"/>
  <c r="AG37" i="16"/>
  <c r="AG18" i="21"/>
  <c r="AG34" i="21"/>
  <c r="AH88" i="16"/>
  <c r="X61" i="16"/>
  <c r="W19" i="44"/>
  <c r="X20" i="21"/>
  <c r="X27" i="21"/>
  <c r="X18" i="44"/>
  <c r="X21" i="44"/>
  <c r="Z57" i="16"/>
  <c r="Y59" i="16"/>
  <c r="X72" i="16"/>
  <c r="D56" i="44"/>
  <c r="F57" i="44"/>
  <c r="AF21" i="21"/>
  <c r="AF28" i="21"/>
  <c r="X75" i="16"/>
  <c r="W63" i="16"/>
  <c r="Y17" i="44"/>
  <c r="Z13" i="16"/>
  <c r="Z19" i="16"/>
  <c r="Z15" i="21"/>
  <c r="Z12" i="15"/>
  <c r="Z19" i="15"/>
  <c r="Z54" i="15"/>
  <c r="I301" i="43"/>
  <c r="W28" i="21"/>
  <c r="W21" i="21"/>
  <c r="X18" i="21"/>
  <c r="X34" i="21"/>
  <c r="Y23" i="21"/>
  <c r="Y37" i="16"/>
  <c r="E127" i="43"/>
  <c r="AC108" i="43"/>
  <c r="AE108" i="43"/>
  <c r="E286" i="43"/>
  <c r="AC105" i="43"/>
  <c r="AE105" i="43"/>
  <c r="E283" i="43"/>
  <c r="E124" i="43"/>
  <c r="E125" i="43"/>
  <c r="AC106" i="43"/>
  <c r="AE106" i="43"/>
  <c r="E284" i="43"/>
  <c r="E126" i="43"/>
  <c r="AC107" i="43"/>
  <c r="AE107" i="43"/>
  <c r="E285" i="43"/>
  <c r="G26" i="43"/>
  <c r="X63" i="16"/>
  <c r="X64" i="16"/>
  <c r="H38" i="43"/>
  <c r="H40" i="43"/>
  <c r="AG63" i="16"/>
  <c r="AG64" i="16"/>
  <c r="AI88" i="16"/>
  <c r="AH34" i="16"/>
  <c r="AH35" i="16"/>
  <c r="AH37" i="16"/>
  <c r="Y18" i="21"/>
  <c r="Y34" i="21"/>
  <c r="AG28" i="21"/>
  <c r="AG21" i="21"/>
  <c r="W75" i="16"/>
  <c r="W72" i="16"/>
  <c r="Z17" i="44"/>
  <c r="AA15" i="21"/>
  <c r="AA13" i="16"/>
  <c r="AA19" i="16"/>
  <c r="AA12" i="15"/>
  <c r="AA19" i="15"/>
  <c r="AA54" i="15"/>
  <c r="X21" i="21"/>
  <c r="X28" i="21"/>
  <c r="Y20" i="21"/>
  <c r="Y27" i="21"/>
  <c r="Y61" i="16"/>
  <c r="X19" i="44"/>
  <c r="Z23" i="21"/>
  <c r="Z37" i="16"/>
  <c r="AA57" i="16"/>
  <c r="Z59" i="16"/>
  <c r="Y21" i="44"/>
  <c r="Y18" i="44"/>
  <c r="V20" i="44"/>
  <c r="W65" i="16"/>
  <c r="W64" i="16"/>
  <c r="D57" i="44"/>
  <c r="F58" i="44"/>
  <c r="X65" i="16"/>
  <c r="W20" i="44"/>
  <c r="AG65" i="16"/>
  <c r="AH18" i="21"/>
  <c r="AH34" i="21"/>
  <c r="I38" i="43"/>
  <c r="I40" i="43"/>
  <c r="AH63" i="16"/>
  <c r="AI34" i="16"/>
  <c r="AI35" i="16"/>
  <c r="AJ88" i="16"/>
  <c r="Z21" i="44"/>
  <c r="Z18" i="44"/>
  <c r="V72" i="16"/>
  <c r="Z61" i="16"/>
  <c r="Y19" i="44"/>
  <c r="Z20" i="21"/>
  <c r="Z27" i="21"/>
  <c r="V75" i="16"/>
  <c r="Y63" i="16"/>
  <c r="AB57" i="16"/>
  <c r="AB59" i="16"/>
  <c r="AA59" i="16"/>
  <c r="Y28" i="21"/>
  <c r="Y21" i="21"/>
  <c r="AB15" i="21"/>
  <c r="AA17" i="44"/>
  <c r="AB13" i="16"/>
  <c r="AA23" i="21"/>
  <c r="AA37" i="16"/>
  <c r="D58" i="44"/>
  <c r="F59" i="44"/>
  <c r="Z18" i="21"/>
  <c r="Z34" i="21"/>
  <c r="Z63" i="16"/>
  <c r="Y20" i="44"/>
  <c r="AJ34" i="16"/>
  <c r="AJ35" i="16"/>
  <c r="AK88" i="16"/>
  <c r="AH65" i="16"/>
  <c r="AH64" i="16"/>
  <c r="AH28" i="21"/>
  <c r="AH21" i="21"/>
  <c r="AB19" i="16"/>
  <c r="AC13" i="16"/>
  <c r="Y65" i="16"/>
  <c r="X20" i="44"/>
  <c r="Y64" i="16"/>
  <c r="U72" i="16"/>
  <c r="AA18" i="21"/>
  <c r="AA34" i="21"/>
  <c r="AA21" i="44"/>
  <c r="M18" i="43"/>
  <c r="AA18" i="44"/>
  <c r="U75" i="16"/>
  <c r="AA61" i="16"/>
  <c r="Z19" i="44"/>
  <c r="AA20" i="21"/>
  <c r="AA27" i="21"/>
  <c r="AB61" i="16"/>
  <c r="AA19" i="44"/>
  <c r="AB20" i="21"/>
  <c r="AB27" i="21"/>
  <c r="Z28" i="21"/>
  <c r="Z21" i="21"/>
  <c r="D59" i="44"/>
  <c r="F60" i="44"/>
  <c r="Z64" i="16"/>
  <c r="Z65" i="16"/>
  <c r="AK34" i="16"/>
  <c r="AK35" i="16"/>
  <c r="AL88" i="16"/>
  <c r="AA21" i="21"/>
  <c r="AA28" i="21"/>
  <c r="AA63" i="16"/>
  <c r="AE13" i="16"/>
  <c r="AE19" i="16"/>
  <c r="AC19" i="16"/>
  <c r="T72" i="16"/>
  <c r="AB23" i="21"/>
  <c r="AB37" i="16"/>
  <c r="T75" i="16"/>
  <c r="D60" i="44"/>
  <c r="F61" i="44"/>
  <c r="AL34" i="16"/>
  <c r="AL35" i="16"/>
  <c r="AM88" i="16"/>
  <c r="AM34" i="16"/>
  <c r="AM35" i="16"/>
  <c r="AC23" i="21"/>
  <c r="AC37" i="16"/>
  <c r="S75" i="16"/>
  <c r="AB63" i="16"/>
  <c r="AB18" i="21"/>
  <c r="AB34" i="21"/>
  <c r="AE23" i="21"/>
  <c r="AE37" i="16"/>
  <c r="AA64" i="16"/>
  <c r="AA65" i="16"/>
  <c r="Z20" i="44"/>
  <c r="D61" i="44"/>
  <c r="F62" i="44"/>
  <c r="S72" i="16"/>
  <c r="R75" i="16"/>
  <c r="AB28" i="21"/>
  <c r="AB21" i="21"/>
  <c r="D62" i="44"/>
  <c r="F63" i="44"/>
  <c r="AB64" i="16"/>
  <c r="AA20" i="44"/>
  <c r="AB65" i="16"/>
  <c r="AE18" i="21"/>
  <c r="AE34" i="21"/>
  <c r="F38" i="43"/>
  <c r="F40" i="43"/>
  <c r="AE63" i="16"/>
  <c r="AC18" i="21"/>
  <c r="AC34" i="21"/>
  <c r="AC63" i="16"/>
  <c r="R72" i="16"/>
  <c r="D63" i="44"/>
  <c r="F64" i="44"/>
  <c r="AC28" i="21"/>
  <c r="AC21" i="21"/>
  <c r="AE64" i="16"/>
  <c r="AE65" i="16"/>
  <c r="AF64" i="16"/>
  <c r="AC65" i="16"/>
  <c r="AC64" i="16"/>
  <c r="AD64" i="16"/>
  <c r="AE21" i="21"/>
  <c r="AE28" i="21"/>
  <c r="Q72" i="16"/>
  <c r="Q73" i="16"/>
  <c r="R73" i="16"/>
  <c r="S73" i="16"/>
  <c r="T73" i="16"/>
  <c r="U73" i="16"/>
  <c r="V73" i="16"/>
  <c r="W73" i="16"/>
  <c r="X73" i="16"/>
  <c r="Y73" i="16"/>
  <c r="Z73" i="16"/>
  <c r="AA73" i="16"/>
  <c r="AB73" i="16"/>
  <c r="Q75" i="16"/>
  <c r="Q76" i="16"/>
  <c r="R76" i="16"/>
  <c r="S76" i="16"/>
  <c r="T76" i="16"/>
  <c r="U76" i="16"/>
  <c r="V76" i="16"/>
  <c r="W76" i="16"/>
  <c r="X76" i="16"/>
  <c r="Y76" i="16"/>
  <c r="Z76" i="16"/>
  <c r="AA76" i="16"/>
  <c r="AB76" i="16"/>
  <c r="D64" i="44"/>
  <c r="F65" i="44"/>
  <c r="D65" i="44"/>
  <c r="F66" i="44"/>
  <c r="D66" i="44"/>
  <c r="L3" i="43"/>
  <c r="L4" i="43"/>
  <c r="F67" i="44"/>
  <c r="D67" i="44"/>
  <c r="F68" i="44"/>
  <c r="D68" i="44"/>
  <c r="F69" i="44"/>
  <c r="F70" i="44"/>
  <c r="D69" i="44"/>
  <c r="D70" i="44"/>
  <c r="F71" i="44"/>
  <c r="D71" i="44"/>
  <c r="F72" i="44"/>
  <c r="D72" i="44"/>
  <c r="F73" i="44"/>
  <c r="D73" i="44"/>
  <c r="F74" i="44"/>
  <c r="D74" i="44"/>
  <c r="F75" i="44"/>
  <c r="D75" i="44"/>
  <c r="F76" i="44"/>
  <c r="D76" i="44"/>
  <c r="F77" i="44"/>
  <c r="D77" i="44"/>
  <c r="F78" i="44"/>
  <c r="D78" i="44"/>
  <c r="F79" i="44"/>
  <c r="D79" i="44"/>
  <c r="F80" i="44"/>
  <c r="D80" i="44"/>
  <c r="F81" i="44"/>
  <c r="D81" i="44"/>
  <c r="F82" i="44"/>
  <c r="D82" i="44"/>
  <c r="F83" i="44"/>
  <c r="D83" i="44"/>
  <c r="F84" i="44"/>
  <c r="D84" i="44"/>
  <c r="F85" i="44"/>
  <c r="D85" i="44"/>
  <c r="F86" i="44"/>
  <c r="F87" i="44"/>
  <c r="D86" i="44"/>
  <c r="D87" i="44"/>
  <c r="F88" i="44"/>
  <c r="D88" i="44"/>
  <c r="F89" i="44"/>
  <c r="D89" i="44"/>
  <c r="F90" i="44"/>
  <c r="D90" i="44"/>
  <c r="F91" i="44"/>
  <c r="D91" i="44"/>
  <c r="F92" i="44"/>
  <c r="D92" i="44"/>
  <c r="F93" i="44"/>
  <c r="D93" i="44"/>
  <c r="F94" i="44"/>
  <c r="D94" i="44"/>
  <c r="F95" i="44"/>
  <c r="D95" i="44"/>
  <c r="F96" i="44"/>
  <c r="F97" i="44"/>
  <c r="D96" i="44"/>
  <c r="D97" i="44"/>
  <c r="F98" i="44"/>
  <c r="D98" i="44"/>
  <c r="F99" i="44"/>
  <c r="D99" i="44"/>
  <c r="F100" i="44"/>
  <c r="D100" i="44"/>
  <c r="F101" i="44"/>
  <c r="D101" i="44"/>
  <c r="F102" i="44"/>
  <c r="D102" i="44"/>
  <c r="F103" i="44"/>
  <c r="D103" i="44"/>
  <c r="F104" i="44"/>
  <c r="D104" i="44"/>
  <c r="F105" i="44"/>
  <c r="F106" i="44"/>
  <c r="D105" i="44"/>
  <c r="D106" i="44"/>
  <c r="F107" i="44"/>
  <c r="D107" i="44"/>
  <c r="F108" i="44"/>
  <c r="D108" i="44"/>
  <c r="F109" i="44"/>
  <c r="D109" i="44"/>
  <c r="F110" i="44"/>
  <c r="D110" i="44"/>
  <c r="F111" i="44"/>
  <c r="D111" i="44"/>
  <c r="F112" i="44"/>
  <c r="D112" i="44"/>
  <c r="F113" i="44"/>
  <c r="D113" i="44"/>
  <c r="F114" i="44"/>
  <c r="D114" i="44"/>
  <c r="F115" i="44"/>
  <c r="D115" i="44"/>
  <c r="F116" i="44"/>
  <c r="D116" i="44"/>
  <c r="F117" i="44"/>
  <c r="F118" i="44"/>
  <c r="D117" i="44"/>
  <c r="D118" i="44"/>
  <c r="F119" i="44"/>
  <c r="D119" i="44"/>
  <c r="F120" i="44"/>
  <c r="D120" i="44"/>
  <c r="F121" i="44"/>
  <c r="D121" i="44"/>
  <c r="F122" i="44"/>
  <c r="D122" i="44"/>
  <c r="F123" i="44"/>
  <c r="D123" i="44"/>
  <c r="F124" i="44"/>
  <c r="D124" i="44"/>
  <c r="F125" i="44"/>
  <c r="F126" i="44"/>
  <c r="D125" i="44"/>
  <c r="D126" i="44"/>
  <c r="F127" i="44"/>
  <c r="D127" i="44"/>
  <c r="F128" i="44"/>
  <c r="D128" i="44"/>
  <c r="F129" i="44"/>
  <c r="D129" i="44"/>
  <c r="F130" i="44"/>
  <c r="D130" i="44"/>
  <c r="F131" i="44"/>
  <c r="D131" i="44"/>
  <c r="F132" i="44"/>
  <c r="D132" i="44"/>
  <c r="F133" i="44"/>
  <c r="F134" i="44"/>
  <c r="D133" i="44"/>
  <c r="D134" i="44"/>
  <c r="F135" i="44"/>
  <c r="D135" i="44"/>
  <c r="F136" i="44"/>
  <c r="F137" i="44"/>
  <c r="D136" i="44"/>
  <c r="D137" i="44"/>
  <c r="F138" i="44"/>
  <c r="D138" i="44"/>
  <c r="F139" i="44"/>
  <c r="D139" i="44"/>
  <c r="F140" i="44"/>
  <c r="D140" i="44"/>
  <c r="F141" i="44"/>
  <c r="F142" i="44"/>
  <c r="D141" i="44"/>
  <c r="D142" i="44"/>
  <c r="F143" i="44"/>
  <c r="D143" i="44"/>
  <c r="F144" i="44"/>
  <c r="F145" i="44"/>
  <c r="D144" i="44"/>
  <c r="D145" i="44"/>
  <c r="F146" i="44"/>
  <c r="D146" i="44"/>
  <c r="F147" i="44"/>
  <c r="D147" i="44"/>
  <c r="F148" i="44"/>
  <c r="D148" i="44"/>
  <c r="F149" i="44"/>
  <c r="D149" i="44"/>
  <c r="F150" i="44"/>
  <c r="D150" i="44"/>
  <c r="F151" i="44"/>
  <c r="D151" i="44"/>
  <c r="F152" i="44"/>
  <c r="F153" i="44"/>
  <c r="D152" i="44"/>
  <c r="F154" i="44"/>
  <c r="D153" i="44"/>
  <c r="D154" i="44"/>
  <c r="F155" i="44"/>
  <c r="D155" i="44"/>
  <c r="F156" i="44"/>
  <c r="D156" i="44"/>
  <c r="F157" i="44"/>
  <c r="D157" i="44"/>
  <c r="F158" i="44"/>
  <c r="D158" i="44"/>
  <c r="F159" i="44"/>
  <c r="D159" i="44"/>
  <c r="F160" i="44"/>
  <c r="F161" i="44"/>
  <c r="D161" i="44"/>
  <c r="D160" i="44"/>
  <c r="I47" i="9"/>
  <c r="I55" i="9"/>
  <c r="AH27" i="15"/>
  <c r="J43" i="10"/>
  <c r="W63" i="10"/>
  <c r="P71" i="10"/>
  <c r="W71" i="10"/>
  <c r="W76" i="10"/>
  <c r="J46" i="10"/>
  <c r="J54" i="10"/>
  <c r="AA71" i="10"/>
  <c r="Y71" i="10"/>
  <c r="Z71" i="10"/>
  <c r="X71" i="10"/>
  <c r="H31" i="22"/>
  <c r="AI25" i="16"/>
  <c r="J56" i="10"/>
  <c r="J62" i="10"/>
  <c r="J64" i="10"/>
  <c r="J58" i="10"/>
  <c r="J60" i="10"/>
  <c r="AJ24" i="8"/>
  <c r="AH18" i="15"/>
  <c r="AH19" i="15"/>
  <c r="AJ26" i="8"/>
  <c r="AI79" i="16"/>
  <c r="AI84" i="16"/>
  <c r="AI87" i="16"/>
  <c r="AI27" i="16"/>
  <c r="AI28" i="16"/>
  <c r="J47" i="43"/>
  <c r="AJ41" i="8"/>
  <c r="AH36" i="15"/>
  <c r="AI20" i="14"/>
  <c r="H18" i="22"/>
  <c r="AI22" i="14"/>
  <c r="AI26" i="14"/>
  <c r="H20" i="22"/>
  <c r="AI25" i="14"/>
  <c r="AI36" i="21"/>
  <c r="AI24" i="14"/>
  <c r="AI28" i="14"/>
  <c r="J46" i="43"/>
  <c r="J48" i="43"/>
  <c r="H23" i="22"/>
  <c r="AI43" i="16"/>
  <c r="AI49" i="15"/>
  <c r="I41" i="22"/>
  <c r="AI33" i="14"/>
  <c r="H22" i="22"/>
  <c r="AI48" i="15"/>
  <c r="I40" i="22"/>
  <c r="AI42" i="16"/>
  <c r="H21" i="22"/>
  <c r="AH47" i="15"/>
  <c r="H24" i="22"/>
  <c r="AI56" i="16"/>
  <c r="AI59" i="16"/>
  <c r="AI14" i="21"/>
  <c r="AI26" i="21"/>
  <c r="H39" i="22"/>
  <c r="AH52" i="15"/>
  <c r="J266" i="43"/>
  <c r="J49" i="43"/>
  <c r="J167" i="43"/>
  <c r="J223" i="43"/>
  <c r="J50" i="43"/>
  <c r="J227" i="43"/>
  <c r="J111" i="43"/>
  <c r="J225" i="43"/>
  <c r="J226" i="43"/>
  <c r="J112" i="43"/>
  <c r="J224" i="43"/>
  <c r="J113" i="43"/>
  <c r="J110" i="43"/>
  <c r="AI46" i="16"/>
  <c r="AI37" i="21"/>
  <c r="AJ57" i="16"/>
  <c r="H42" i="22"/>
  <c r="AH54" i="15"/>
  <c r="J267" i="43"/>
  <c r="J116" i="43"/>
  <c r="J233" i="43"/>
  <c r="J230" i="43"/>
  <c r="J118" i="43"/>
  <c r="J51" i="43"/>
  <c r="K168" i="43"/>
  <c r="J115" i="43"/>
  <c r="J232" i="43"/>
  <c r="J117" i="43"/>
  <c r="J229" i="43"/>
  <c r="J231" i="43"/>
  <c r="J152" i="43"/>
  <c r="AI52" i="16"/>
  <c r="AI19" i="21"/>
  <c r="J155" i="43"/>
  <c r="J153" i="43"/>
  <c r="J154" i="43"/>
  <c r="AI20" i="21"/>
  <c r="AI27" i="21"/>
  <c r="J181" i="43"/>
  <c r="J183" i="43"/>
  <c r="J182" i="43"/>
  <c r="J180" i="43"/>
  <c r="AI61" i="16"/>
  <c r="J39" i="43"/>
  <c r="J160" i="43"/>
  <c r="J157" i="43"/>
  <c r="J159" i="43"/>
  <c r="AI15" i="21"/>
  <c r="AI13" i="16"/>
  <c r="AI19" i="16"/>
  <c r="AI12" i="15"/>
  <c r="J42" i="43"/>
  <c r="J158" i="43"/>
  <c r="J185" i="43"/>
  <c r="AI37" i="16"/>
  <c r="AI23" i="21"/>
  <c r="AH35" i="43"/>
  <c r="J264" i="43"/>
  <c r="J212" i="43"/>
  <c r="J213" i="43"/>
  <c r="J101" i="43"/>
  <c r="J215" i="43"/>
  <c r="J103" i="43"/>
  <c r="J211" i="43"/>
  <c r="J44" i="43"/>
  <c r="J214" i="43"/>
  <c r="J102" i="43"/>
  <c r="J100" i="43"/>
  <c r="J43" i="43"/>
  <c r="K165" i="43"/>
  <c r="J186" i="43"/>
  <c r="J187" i="43"/>
  <c r="J188" i="43"/>
  <c r="J144" i="43"/>
  <c r="J145" i="43"/>
  <c r="J265" i="43"/>
  <c r="J221" i="43"/>
  <c r="J108" i="43"/>
  <c r="J107" i="43"/>
  <c r="J218" i="43"/>
  <c r="J45" i="43"/>
  <c r="K166" i="43"/>
  <c r="J219" i="43"/>
  <c r="J217" i="43"/>
  <c r="J220" i="43"/>
  <c r="J105" i="43"/>
  <c r="J106" i="43"/>
  <c r="J142" i="43"/>
  <c r="J170" i="43"/>
  <c r="J143" i="43"/>
  <c r="AI18" i="21"/>
  <c r="AI34" i="21"/>
  <c r="AI63" i="16"/>
  <c r="J38" i="43"/>
  <c r="J40" i="43"/>
  <c r="J173" i="43"/>
  <c r="J172" i="43"/>
  <c r="J171" i="43"/>
  <c r="J148" i="43"/>
  <c r="J147" i="43"/>
  <c r="J150" i="43"/>
  <c r="AI64" i="16"/>
  <c r="AI66" i="16"/>
  <c r="AI65" i="16"/>
  <c r="AI21" i="21"/>
  <c r="AI28" i="21"/>
  <c r="J149" i="43"/>
  <c r="J47" i="9"/>
  <c r="J55" i="9"/>
  <c r="AI27" i="15"/>
  <c r="I31" i="22"/>
  <c r="K43" i="10"/>
  <c r="X63" i="10"/>
  <c r="P72" i="10"/>
  <c r="AJ25" i="16"/>
  <c r="AK25" i="16"/>
  <c r="J178" i="43"/>
  <c r="J176" i="43"/>
  <c r="J177" i="43"/>
  <c r="J175" i="43"/>
  <c r="Y72" i="10"/>
  <c r="Y76" i="10"/>
  <c r="L46" i="10"/>
  <c r="L54" i="10"/>
  <c r="AA72" i="10"/>
  <c r="AA76" i="10"/>
  <c r="N46" i="10"/>
  <c r="N54" i="10"/>
  <c r="AL25" i="16"/>
  <c r="Z72" i="10"/>
  <c r="Z76" i="10"/>
  <c r="M46" i="10"/>
  <c r="M54" i="10"/>
  <c r="X72" i="10"/>
  <c r="X76" i="10"/>
  <c r="K46" i="10"/>
  <c r="K54" i="10"/>
  <c r="N56" i="10"/>
  <c r="N58" i="10"/>
  <c r="N62" i="10"/>
  <c r="N64" i="10"/>
  <c r="AM25" i="16"/>
  <c r="K56" i="10"/>
  <c r="K58" i="10"/>
  <c r="K62" i="10"/>
  <c r="K64" i="10"/>
  <c r="M62" i="10"/>
  <c r="M64" i="10"/>
  <c r="M58" i="10"/>
  <c r="M56" i="10"/>
  <c r="L58" i="10"/>
  <c r="L62" i="10"/>
  <c r="L64" i="10"/>
  <c r="L56" i="10"/>
  <c r="AN24" i="8"/>
  <c r="N60" i="10"/>
  <c r="L60" i="10"/>
  <c r="AL24" i="8"/>
  <c r="K60" i="10"/>
  <c r="AK24" i="8"/>
  <c r="AM24" i="8"/>
  <c r="M60" i="10"/>
  <c r="AL26" i="8"/>
  <c r="AJ18" i="15"/>
  <c r="L47" i="43"/>
  <c r="AL41" i="8"/>
  <c r="AK79" i="16"/>
  <c r="AK84" i="16"/>
  <c r="AK18" i="15"/>
  <c r="M47" i="43"/>
  <c r="AL79" i="16"/>
  <c r="AL84" i="16"/>
  <c r="AM26" i="8"/>
  <c r="AM41" i="8"/>
  <c r="AK26" i="8"/>
  <c r="AI18" i="15"/>
  <c r="AI19" i="15"/>
  <c r="AJ79" i="16"/>
  <c r="AJ84" i="16"/>
  <c r="AJ87" i="16"/>
  <c r="AJ27" i="16"/>
  <c r="AJ28" i="16"/>
  <c r="K47" i="43"/>
  <c r="AK41" i="8"/>
  <c r="AN26" i="8"/>
  <c r="AL18" i="15"/>
  <c r="N47" i="43"/>
  <c r="AM79" i="16"/>
  <c r="AM84" i="16"/>
  <c r="AN41" i="8"/>
  <c r="AM20" i="14"/>
  <c r="AL36" i="15"/>
  <c r="AJ36" i="15"/>
  <c r="AK20" i="14"/>
  <c r="AJ20" i="14"/>
  <c r="AI36" i="15"/>
  <c r="AK36" i="15"/>
  <c r="AL20" i="14"/>
  <c r="AK87" i="16"/>
  <c r="AK27" i="16"/>
  <c r="AK28" i="16"/>
  <c r="AL22" i="14"/>
  <c r="AL26" i="14"/>
  <c r="K18" i="22"/>
  <c r="AK22" i="14"/>
  <c r="AK26" i="14"/>
  <c r="J18" i="22"/>
  <c r="I18" i="22"/>
  <c r="AJ22" i="14"/>
  <c r="AJ26" i="14"/>
  <c r="AL87" i="16"/>
  <c r="L18" i="22"/>
  <c r="AM22" i="14"/>
  <c r="AM26" i="14"/>
  <c r="AL27" i="16"/>
  <c r="AL28" i="16"/>
  <c r="AM87" i="16"/>
  <c r="AM27" i="16"/>
  <c r="AM28" i="16"/>
  <c r="L20" i="22"/>
  <c r="AM25" i="14"/>
  <c r="AM36" i="21"/>
  <c r="AM24" i="14"/>
  <c r="I20" i="22"/>
  <c r="AJ25" i="14"/>
  <c r="AJ36" i="21"/>
  <c r="AJ24" i="14"/>
  <c r="J20" i="22"/>
  <c r="AK24" i="14"/>
  <c r="AK25" i="14"/>
  <c r="AK36" i="21"/>
  <c r="AL24" i="14"/>
  <c r="K20" i="22"/>
  <c r="AL25" i="14"/>
  <c r="AL36" i="21"/>
  <c r="AM28" i="14"/>
  <c r="AM56" i="16"/>
  <c r="AK28" i="14"/>
  <c r="AK56" i="16"/>
  <c r="K22" i="22"/>
  <c r="AL42" i="16"/>
  <c r="AL48" i="15"/>
  <c r="L40" i="22"/>
  <c r="J22" i="22"/>
  <c r="AK48" i="15"/>
  <c r="K40" i="22"/>
  <c r="AK42" i="16"/>
  <c r="I22" i="22"/>
  <c r="AJ48" i="15"/>
  <c r="J40" i="22"/>
  <c r="AJ42" i="16"/>
  <c r="L23" i="22"/>
  <c r="AM43" i="16"/>
  <c r="AJ28" i="14"/>
  <c r="K23" i="22"/>
  <c r="AL43" i="16"/>
  <c r="AL49" i="15"/>
  <c r="L41" i="22"/>
  <c r="K21" i="22"/>
  <c r="AK47" i="15"/>
  <c r="I21" i="22"/>
  <c r="AI47" i="15"/>
  <c r="AK43" i="16"/>
  <c r="J23" i="22"/>
  <c r="AK49" i="15"/>
  <c r="K41" i="22"/>
  <c r="AL47" i="15"/>
  <c r="L21" i="22"/>
  <c r="AJ47" i="15"/>
  <c r="J21" i="22"/>
  <c r="AK33" i="14"/>
  <c r="L22" i="22"/>
  <c r="AM42" i="16"/>
  <c r="AL28" i="14"/>
  <c r="AL33" i="14"/>
  <c r="I23" i="22"/>
  <c r="AJ43" i="16"/>
  <c r="AJ49" i="15"/>
  <c r="J41" i="22"/>
  <c r="AJ33" i="14"/>
  <c r="AM33" i="14"/>
  <c r="L46" i="43"/>
  <c r="L48" i="43"/>
  <c r="L266" i="43"/>
  <c r="L24" i="22"/>
  <c r="N46" i="43"/>
  <c r="N48" i="43"/>
  <c r="N223" i="43"/>
  <c r="AK14" i="21"/>
  <c r="AK26" i="21"/>
  <c r="J24" i="22"/>
  <c r="AM14" i="21"/>
  <c r="AM37" i="21"/>
  <c r="AJ46" i="16"/>
  <c r="AJ52" i="16"/>
  <c r="AJ19" i="21"/>
  <c r="AL46" i="16"/>
  <c r="AL52" i="16"/>
  <c r="AL19" i="21"/>
  <c r="AM46" i="16"/>
  <c r="AM52" i="16"/>
  <c r="AM19" i="21"/>
  <c r="AK46" i="16"/>
  <c r="K46" i="43"/>
  <c r="K48" i="43"/>
  <c r="AJ14" i="21"/>
  <c r="I24" i="22"/>
  <c r="AJ56" i="16"/>
  <c r="I39" i="22"/>
  <c r="AI52" i="15"/>
  <c r="K39" i="22"/>
  <c r="AK52" i="15"/>
  <c r="K24" i="22"/>
  <c r="AL14" i="21"/>
  <c r="M46" i="43"/>
  <c r="M48" i="43"/>
  <c r="AL56" i="16"/>
  <c r="L39" i="22"/>
  <c r="AL52" i="15"/>
  <c r="L224" i="43"/>
  <c r="J39" i="22"/>
  <c r="AJ52" i="15"/>
  <c r="L112" i="43"/>
  <c r="L50" i="43"/>
  <c r="L232" i="43"/>
  <c r="N50" i="43"/>
  <c r="N229" i="43"/>
  <c r="L111" i="43"/>
  <c r="L110" i="43"/>
  <c r="L223" i="43"/>
  <c r="L113" i="43"/>
  <c r="L226" i="43"/>
  <c r="L227" i="43"/>
  <c r="L225" i="43"/>
  <c r="N110" i="43"/>
  <c r="N227" i="43"/>
  <c r="N226" i="43"/>
  <c r="N224" i="43"/>
  <c r="N112" i="43"/>
  <c r="N225" i="43"/>
  <c r="N111" i="43"/>
  <c r="N113" i="43"/>
  <c r="N266" i="43"/>
  <c r="AM26" i="21"/>
  <c r="AK37" i="21"/>
  <c r="J42" i="22"/>
  <c r="L42" i="22"/>
  <c r="AK57" i="16"/>
  <c r="AJ59" i="16"/>
  <c r="L267" i="43"/>
  <c r="K42" i="22"/>
  <c r="M226" i="43"/>
  <c r="M224" i="43"/>
  <c r="M223" i="43"/>
  <c r="M227" i="43"/>
  <c r="M266" i="43"/>
  <c r="M113" i="43"/>
  <c r="M112" i="43"/>
  <c r="M225" i="43"/>
  <c r="M50" i="43"/>
  <c r="M110" i="43"/>
  <c r="M111" i="43"/>
  <c r="J62" i="43"/>
  <c r="J70" i="43"/>
  <c r="F194" i="43"/>
  <c r="J61" i="43"/>
  <c r="J59" i="43"/>
  <c r="J56" i="43"/>
  <c r="J64" i="43"/>
  <c r="J66" i="43"/>
  <c r="F205" i="43"/>
  <c r="J60" i="43"/>
  <c r="J68" i="43"/>
  <c r="J58" i="43"/>
  <c r="J69" i="43"/>
  <c r="J71" i="43"/>
  <c r="J67" i="43"/>
  <c r="H19" i="43"/>
  <c r="K266" i="43"/>
  <c r="J72" i="43"/>
  <c r="K225" i="43"/>
  <c r="K49" i="43"/>
  <c r="K167" i="43"/>
  <c r="K110" i="43"/>
  <c r="J65" i="43"/>
  <c r="K227" i="43"/>
  <c r="K224" i="43"/>
  <c r="K223" i="43"/>
  <c r="AB223" i="43"/>
  <c r="K50" i="43"/>
  <c r="K112" i="43"/>
  <c r="J63" i="43"/>
  <c r="K113" i="43"/>
  <c r="K226" i="43"/>
  <c r="J57" i="43"/>
  <c r="AB48" i="43"/>
  <c r="K111" i="43"/>
  <c r="AL37" i="21"/>
  <c r="AL26" i="21"/>
  <c r="AI54" i="15"/>
  <c r="I42" i="22"/>
  <c r="AJ26" i="21"/>
  <c r="AJ37" i="21"/>
  <c r="AK52" i="16"/>
  <c r="AK19" i="21"/>
  <c r="AB225" i="43"/>
  <c r="N230" i="43"/>
  <c r="AB226" i="43"/>
  <c r="AB224" i="43"/>
  <c r="F239" i="43"/>
  <c r="AB227" i="43"/>
  <c r="AC227" i="43"/>
  <c r="F252" i="43"/>
  <c r="F258" i="43"/>
  <c r="N267" i="43"/>
  <c r="L118" i="43"/>
  <c r="L230" i="43"/>
  <c r="N231" i="43"/>
  <c r="N117" i="43"/>
  <c r="N115" i="43"/>
  <c r="N232" i="43"/>
  <c r="N116" i="43"/>
  <c r="N233" i="43"/>
  <c r="N118" i="43"/>
  <c r="L116" i="43"/>
  <c r="L229" i="43"/>
  <c r="L115" i="43"/>
  <c r="L117" i="43"/>
  <c r="L233" i="43"/>
  <c r="L231" i="43"/>
  <c r="AC223" i="43"/>
  <c r="F248" i="43"/>
  <c r="F254" i="43"/>
  <c r="F240" i="43"/>
  <c r="AJ15" i="21"/>
  <c r="AJ13" i="16"/>
  <c r="AJ19" i="16"/>
  <c r="K42" i="43"/>
  <c r="AJ12" i="15"/>
  <c r="AJ19" i="15"/>
  <c r="AJ54" i="15"/>
  <c r="AK15" i="21"/>
  <c r="K154" i="43"/>
  <c r="K182" i="43"/>
  <c r="AB112" i="43"/>
  <c r="H17" i="43"/>
  <c r="F259" i="43"/>
  <c r="M230" i="43"/>
  <c r="M229" i="43"/>
  <c r="M233" i="43"/>
  <c r="M232" i="43"/>
  <c r="M267" i="43"/>
  <c r="M115" i="43"/>
  <c r="M231" i="43"/>
  <c r="M118" i="43"/>
  <c r="M116" i="43"/>
  <c r="M117" i="43"/>
  <c r="AJ61" i="16"/>
  <c r="K39" i="43"/>
  <c r="AJ20" i="21"/>
  <c r="AJ27" i="21"/>
  <c r="K71" i="43"/>
  <c r="K58" i="43"/>
  <c r="K64" i="43"/>
  <c r="K66" i="43"/>
  <c r="K62" i="43"/>
  <c r="K59" i="43"/>
  <c r="K60" i="43"/>
  <c r="K57" i="43"/>
  <c r="K69" i="43"/>
  <c r="K61" i="43"/>
  <c r="K72" i="43"/>
  <c r="K63" i="43"/>
  <c r="G205" i="43"/>
  <c r="K267" i="43"/>
  <c r="G194" i="43"/>
  <c r="K56" i="43"/>
  <c r="K232" i="43"/>
  <c r="K118" i="43"/>
  <c r="K115" i="43"/>
  <c r="K65" i="43"/>
  <c r="K67" i="43"/>
  <c r="K233" i="43"/>
  <c r="K70" i="43"/>
  <c r="K231" i="43"/>
  <c r="K51" i="43"/>
  <c r="L168" i="43"/>
  <c r="K229" i="43"/>
  <c r="AB229" i="43"/>
  <c r="K68" i="43"/>
  <c r="AB50" i="43"/>
  <c r="K117" i="43"/>
  <c r="K116" i="43"/>
  <c r="K230" i="43"/>
  <c r="AL57" i="16"/>
  <c r="AK59" i="16"/>
  <c r="K153" i="43"/>
  <c r="K181" i="43"/>
  <c r="AB111" i="43"/>
  <c r="K155" i="43"/>
  <c r="K183" i="43"/>
  <c r="AB113" i="43"/>
  <c r="AB110" i="43"/>
  <c r="K152" i="43"/>
  <c r="K180" i="43"/>
  <c r="F273" i="43"/>
  <c r="F277" i="43"/>
  <c r="F275" i="43"/>
  <c r="F276" i="43"/>
  <c r="I25" i="43"/>
  <c r="F274" i="43"/>
  <c r="F132" i="43"/>
  <c r="AF48" i="43"/>
  <c r="AG48" i="43"/>
  <c r="F291" i="43"/>
  <c r="L49" i="43"/>
  <c r="L167" i="43"/>
  <c r="H7" i="21"/>
  <c r="U7" i="21"/>
  <c r="AH7" i="21"/>
  <c r="M301" i="43"/>
  <c r="I19" i="43"/>
  <c r="J7" i="21"/>
  <c r="W7" i="21"/>
  <c r="AJ7" i="21"/>
  <c r="AB230" i="43"/>
  <c r="G239" i="43"/>
  <c r="AB232" i="43"/>
  <c r="G241" i="43"/>
  <c r="I23" i="43"/>
  <c r="AB233" i="43"/>
  <c r="G242" i="43"/>
  <c r="AB231" i="43"/>
  <c r="AC231" i="43"/>
  <c r="G250" i="43"/>
  <c r="G256" i="43"/>
  <c r="AC224" i="43"/>
  <c r="F249" i="43"/>
  <c r="F255" i="43"/>
  <c r="AC225" i="43"/>
  <c r="F250" i="43"/>
  <c r="F256" i="43"/>
  <c r="F238" i="43"/>
  <c r="F242" i="43"/>
  <c r="AC230" i="43"/>
  <c r="G249" i="43"/>
  <c r="G255" i="43"/>
  <c r="AK13" i="16"/>
  <c r="AK19" i="16"/>
  <c r="AK37" i="16"/>
  <c r="AK12" i="15"/>
  <c r="AK19" i="15"/>
  <c r="AK54" i="15"/>
  <c r="L42" i="43"/>
  <c r="L213" i="43"/>
  <c r="L152" i="43"/>
  <c r="L180" i="43"/>
  <c r="F136" i="43"/>
  <c r="E136" i="43"/>
  <c r="AF113" i="43"/>
  <c r="AG113" i="43"/>
  <c r="F295" i="43"/>
  <c r="K159" i="43"/>
  <c r="AB117" i="43"/>
  <c r="L51" i="43"/>
  <c r="M168" i="43"/>
  <c r="E133" i="43"/>
  <c r="F133" i="43"/>
  <c r="AF110" i="43"/>
  <c r="AG110" i="43"/>
  <c r="F292" i="43"/>
  <c r="L183" i="43"/>
  <c r="L155" i="43"/>
  <c r="G132" i="43"/>
  <c r="AF50" i="43"/>
  <c r="AG50" i="43"/>
  <c r="G291" i="43"/>
  <c r="I17" i="43"/>
  <c r="G259" i="43"/>
  <c r="F241" i="43"/>
  <c r="H23" i="43"/>
  <c r="AC226" i="43"/>
  <c r="F251" i="43"/>
  <c r="F257" i="43"/>
  <c r="H24" i="43"/>
  <c r="AI35" i="43"/>
  <c r="K264" i="43"/>
  <c r="K215" i="43"/>
  <c r="K102" i="43"/>
  <c r="K103" i="43"/>
  <c r="K101" i="43"/>
  <c r="K100" i="43"/>
  <c r="K214" i="43"/>
  <c r="K43" i="43"/>
  <c r="L165" i="43"/>
  <c r="K213" i="43"/>
  <c r="K212" i="43"/>
  <c r="K211" i="43"/>
  <c r="K44" i="43"/>
  <c r="M49" i="43"/>
  <c r="M167" i="43"/>
  <c r="E134" i="43"/>
  <c r="AF111" i="43"/>
  <c r="AG111" i="43"/>
  <c r="F293" i="43"/>
  <c r="F134" i="43"/>
  <c r="AK20" i="21"/>
  <c r="AK27" i="21"/>
  <c r="AK61" i="16"/>
  <c r="L39" i="43"/>
  <c r="K157" i="43"/>
  <c r="K185" i="43"/>
  <c r="AB115" i="43"/>
  <c r="E135" i="43"/>
  <c r="F135" i="43"/>
  <c r="AF112" i="43"/>
  <c r="AG112" i="43"/>
  <c r="F294" i="43"/>
  <c r="AJ37" i="16"/>
  <c r="AJ23" i="21"/>
  <c r="L153" i="43"/>
  <c r="L181" i="43"/>
  <c r="AL59" i="16"/>
  <c r="AM57" i="16"/>
  <c r="AM59" i="16"/>
  <c r="K158" i="43"/>
  <c r="K186" i="43"/>
  <c r="AB116" i="43"/>
  <c r="AB118" i="43"/>
  <c r="K160" i="43"/>
  <c r="G274" i="43"/>
  <c r="G277" i="43"/>
  <c r="G276" i="43"/>
  <c r="G275" i="43"/>
  <c r="G273" i="43"/>
  <c r="L154" i="43"/>
  <c r="L182" i="43"/>
  <c r="AC232" i="43"/>
  <c r="G251" i="43"/>
  <c r="G257" i="43"/>
  <c r="I24" i="43"/>
  <c r="AC233" i="43"/>
  <c r="G252" i="43"/>
  <c r="G258" i="43"/>
  <c r="G240" i="43"/>
  <c r="AK23" i="21"/>
  <c r="L264" i="43"/>
  <c r="L101" i="43"/>
  <c r="L211" i="43"/>
  <c r="AJ35" i="43"/>
  <c r="L102" i="43"/>
  <c r="L215" i="43"/>
  <c r="L103" i="43"/>
  <c r="L100" i="43"/>
  <c r="L212" i="43"/>
  <c r="M42" i="43"/>
  <c r="AL15" i="21"/>
  <c r="AL12" i="15"/>
  <c r="AL19" i="15"/>
  <c r="AL54" i="15"/>
  <c r="AL13" i="16"/>
  <c r="AL19" i="16"/>
  <c r="L43" i="43"/>
  <c r="M165" i="43"/>
  <c r="L44" i="43"/>
  <c r="L217" i="43"/>
  <c r="L214" i="43"/>
  <c r="L158" i="43"/>
  <c r="L186" i="43"/>
  <c r="M154" i="43"/>
  <c r="M182" i="43"/>
  <c r="K188" i="43"/>
  <c r="L160" i="43"/>
  <c r="L188" i="43"/>
  <c r="AC229" i="43"/>
  <c r="G248" i="43"/>
  <c r="G254" i="43"/>
  <c r="G238" i="43"/>
  <c r="AL61" i="16"/>
  <c r="M39" i="43"/>
  <c r="AL20" i="21"/>
  <c r="AL27" i="21"/>
  <c r="K220" i="43"/>
  <c r="K221" i="43"/>
  <c r="K217" i="43"/>
  <c r="K219" i="43"/>
  <c r="K218" i="43"/>
  <c r="K45" i="43"/>
  <c r="L166" i="43"/>
  <c r="K107" i="43"/>
  <c r="K106" i="43"/>
  <c r="K265" i="43"/>
  <c r="K108" i="43"/>
  <c r="K105" i="43"/>
  <c r="K144" i="43"/>
  <c r="K172" i="43"/>
  <c r="G135" i="43"/>
  <c r="AF117" i="43"/>
  <c r="AG117" i="43"/>
  <c r="G294" i="43"/>
  <c r="AF118" i="43"/>
  <c r="AG118" i="43"/>
  <c r="G295" i="43"/>
  <c r="G136" i="43"/>
  <c r="G134" i="43"/>
  <c r="AF116" i="43"/>
  <c r="AG116" i="43"/>
  <c r="G293" i="43"/>
  <c r="M181" i="43"/>
  <c r="M153" i="43"/>
  <c r="G133" i="43"/>
  <c r="AF115" i="43"/>
  <c r="AG115" i="43"/>
  <c r="G292" i="43"/>
  <c r="K142" i="43"/>
  <c r="K170" i="43"/>
  <c r="M155" i="43"/>
  <c r="M183" i="43"/>
  <c r="K187" i="43"/>
  <c r="L159" i="43"/>
  <c r="L187" i="43"/>
  <c r="M180" i="43"/>
  <c r="M152" i="43"/>
  <c r="L157" i="43"/>
  <c r="L185" i="43"/>
  <c r="N49" i="43"/>
  <c r="N167" i="43"/>
  <c r="K143" i="43"/>
  <c r="AM20" i="21"/>
  <c r="AM27" i="21"/>
  <c r="AM61" i="16"/>
  <c r="N39" i="43"/>
  <c r="AJ18" i="21"/>
  <c r="AJ34" i="21"/>
  <c r="AJ63" i="16"/>
  <c r="K38" i="43"/>
  <c r="K40" i="43"/>
  <c r="K145" i="43"/>
  <c r="K173" i="43"/>
  <c r="AK63" i="16"/>
  <c r="L38" i="43"/>
  <c r="L40" i="43"/>
  <c r="AK18" i="21"/>
  <c r="AK34" i="21"/>
  <c r="M51" i="43"/>
  <c r="N168" i="43"/>
  <c r="D167" i="43"/>
  <c r="F195" i="43"/>
  <c r="H20" i="43"/>
  <c r="L143" i="43"/>
  <c r="K171" i="43"/>
  <c r="L142" i="43"/>
  <c r="L107" i="43"/>
  <c r="L145" i="43"/>
  <c r="L144" i="43"/>
  <c r="AK35" i="43"/>
  <c r="M102" i="43"/>
  <c r="M100" i="43"/>
  <c r="M215" i="43"/>
  <c r="M212" i="43"/>
  <c r="M101" i="43"/>
  <c r="M211" i="43"/>
  <c r="M213" i="43"/>
  <c r="M44" i="43"/>
  <c r="M214" i="43"/>
  <c r="M264" i="43"/>
  <c r="M103" i="43"/>
  <c r="L108" i="43"/>
  <c r="AL37" i="16"/>
  <c r="AL23" i="21"/>
  <c r="L265" i="43"/>
  <c r="L219" i="43"/>
  <c r="L220" i="43"/>
  <c r="M43" i="43"/>
  <c r="N165" i="43"/>
  <c r="D165" i="43"/>
  <c r="AM13" i="16"/>
  <c r="AM19" i="16"/>
  <c r="AM15" i="21"/>
  <c r="N42" i="43"/>
  <c r="H65" i="43"/>
  <c r="L105" i="43"/>
  <c r="L221" i="43"/>
  <c r="L106" i="43"/>
  <c r="L218" i="43"/>
  <c r="AK21" i="21"/>
  <c r="AK28" i="21"/>
  <c r="AJ28" i="21"/>
  <c r="AJ21" i="21"/>
  <c r="N180" i="43"/>
  <c r="N152" i="43"/>
  <c r="K150" i="43"/>
  <c r="K149" i="43"/>
  <c r="K177" i="43"/>
  <c r="L171" i="43"/>
  <c r="N155" i="43"/>
  <c r="N183" i="43"/>
  <c r="L172" i="43"/>
  <c r="L45" i="43"/>
  <c r="M166" i="43"/>
  <c r="N182" i="43"/>
  <c r="N154" i="43"/>
  <c r="L173" i="43"/>
  <c r="AJ64" i="16"/>
  <c r="AJ66" i="16"/>
  <c r="AJ65" i="16"/>
  <c r="K148" i="43"/>
  <c r="K176" i="43"/>
  <c r="M158" i="43"/>
  <c r="M186" i="43"/>
  <c r="M185" i="43"/>
  <c r="M157" i="43"/>
  <c r="N51" i="43"/>
  <c r="D168" i="43"/>
  <c r="G195" i="43"/>
  <c r="I20" i="43"/>
  <c r="AK64" i="16"/>
  <c r="AK65" i="16"/>
  <c r="M159" i="43"/>
  <c r="M187" i="43"/>
  <c r="L170" i="43"/>
  <c r="N153" i="43"/>
  <c r="N181" i="43"/>
  <c r="K147" i="43"/>
  <c r="K175" i="43"/>
  <c r="M160" i="43"/>
  <c r="M188" i="43"/>
  <c r="M143" i="43"/>
  <c r="M171" i="43"/>
  <c r="D183" i="43"/>
  <c r="F199" i="43"/>
  <c r="D180" i="43"/>
  <c r="F196" i="43"/>
  <c r="D181" i="43"/>
  <c r="F197" i="43"/>
  <c r="D182" i="43"/>
  <c r="F198" i="43"/>
  <c r="H21" i="43"/>
  <c r="M145" i="43"/>
  <c r="L149" i="43"/>
  <c r="M173" i="43"/>
  <c r="L150" i="43"/>
  <c r="L178" i="43"/>
  <c r="K178" i="43"/>
  <c r="M142" i="43"/>
  <c r="M144" i="43"/>
  <c r="M172" i="43"/>
  <c r="L147" i="43"/>
  <c r="L175" i="43"/>
  <c r="L148" i="43"/>
  <c r="H57" i="43"/>
  <c r="N43" i="43"/>
  <c r="D195" i="43"/>
  <c r="F20" i="43"/>
  <c r="H61" i="43"/>
  <c r="H66" i="43"/>
  <c r="H60" i="43"/>
  <c r="H59" i="43"/>
  <c r="H56" i="43"/>
  <c r="N211" i="43"/>
  <c r="AB211" i="43"/>
  <c r="D238" i="43"/>
  <c r="N100" i="43"/>
  <c r="AB100" i="43"/>
  <c r="AF100" i="43"/>
  <c r="AG100" i="43"/>
  <c r="D292" i="43"/>
  <c r="N101" i="43"/>
  <c r="N143" i="43"/>
  <c r="N171" i="43"/>
  <c r="N212" i="43"/>
  <c r="AB212" i="43"/>
  <c r="N214" i="43"/>
  <c r="AB214" i="43"/>
  <c r="N264" i="43"/>
  <c r="D273" i="43"/>
  <c r="N215" i="43"/>
  <c r="AB215" i="43"/>
  <c r="N103" i="43"/>
  <c r="AB103" i="43"/>
  <c r="AF103" i="43"/>
  <c r="AG103" i="43"/>
  <c r="D295" i="43"/>
  <c r="N44" i="43"/>
  <c r="N213" i="43"/>
  <c r="AB213" i="43"/>
  <c r="N102" i="43"/>
  <c r="N144" i="43"/>
  <c r="N172" i="43"/>
  <c r="D172" i="43"/>
  <c r="H64" i="43"/>
  <c r="H63" i="43"/>
  <c r="H69" i="43"/>
  <c r="H58" i="43"/>
  <c r="H62" i="43"/>
  <c r="AL63" i="16"/>
  <c r="AL18" i="21"/>
  <c r="AL34" i="21"/>
  <c r="M38" i="43"/>
  <c r="M40" i="43"/>
  <c r="H67" i="43"/>
  <c r="F19" i="43"/>
  <c r="D205" i="43"/>
  <c r="H68" i="43"/>
  <c r="AB42" i="43"/>
  <c r="AM23" i="21"/>
  <c r="AM37" i="16"/>
  <c r="D194" i="43"/>
  <c r="H71" i="43"/>
  <c r="M265" i="43"/>
  <c r="M105" i="43"/>
  <c r="M221" i="43"/>
  <c r="M107" i="43"/>
  <c r="M217" i="43"/>
  <c r="M220" i="43"/>
  <c r="M108" i="43"/>
  <c r="M219" i="43"/>
  <c r="M218" i="43"/>
  <c r="M106" i="43"/>
  <c r="M148" i="43"/>
  <c r="M176" i="43"/>
  <c r="H72" i="43"/>
  <c r="H70" i="43"/>
  <c r="N158" i="43"/>
  <c r="N186" i="43"/>
  <c r="N159" i="43"/>
  <c r="N187" i="43"/>
  <c r="N157" i="43"/>
  <c r="N185" i="43"/>
  <c r="L176" i="43"/>
  <c r="M45" i="43"/>
  <c r="N166" i="43"/>
  <c r="D166" i="43"/>
  <c r="N160" i="43"/>
  <c r="N188" i="43"/>
  <c r="L177" i="43"/>
  <c r="M170" i="43"/>
  <c r="I67" i="43"/>
  <c r="G19" i="43"/>
  <c r="N217" i="43"/>
  <c r="AB217" i="43"/>
  <c r="D185" i="43"/>
  <c r="G196" i="43"/>
  <c r="D186" i="43"/>
  <c r="G197" i="43"/>
  <c r="D171" i="43"/>
  <c r="D197" i="43"/>
  <c r="D188" i="43"/>
  <c r="G199" i="43"/>
  <c r="D187" i="43"/>
  <c r="G198" i="43"/>
  <c r="I21" i="43"/>
  <c r="M149" i="43"/>
  <c r="M177" i="43"/>
  <c r="M150" i="43"/>
  <c r="M178" i="43"/>
  <c r="D198" i="43"/>
  <c r="F21" i="43"/>
  <c r="M147" i="43"/>
  <c r="M175" i="43"/>
  <c r="N142" i="43"/>
  <c r="N170" i="43"/>
  <c r="AB102" i="43"/>
  <c r="AF102" i="43"/>
  <c r="AG102" i="43"/>
  <c r="D294" i="43"/>
  <c r="I61" i="43"/>
  <c r="I72" i="43"/>
  <c r="D276" i="43"/>
  <c r="G25" i="43"/>
  <c r="N145" i="43"/>
  <c r="N173" i="43"/>
  <c r="D277" i="43"/>
  <c r="AC214" i="43"/>
  <c r="D251" i="43"/>
  <c r="D257" i="43"/>
  <c r="F24" i="43"/>
  <c r="D241" i="43"/>
  <c r="F23" i="43"/>
  <c r="AC211" i="43"/>
  <c r="D248" i="43"/>
  <c r="D254" i="43"/>
  <c r="D242" i="43"/>
  <c r="AC215" i="43"/>
  <c r="D252" i="43"/>
  <c r="D258" i="43"/>
  <c r="D259" i="43"/>
  <c r="F17" i="43"/>
  <c r="D239" i="43"/>
  <c r="AC212" i="43"/>
  <c r="D249" i="43"/>
  <c r="D255" i="43"/>
  <c r="I60" i="43"/>
  <c r="AC213" i="43"/>
  <c r="D250" i="43"/>
  <c r="D256" i="43"/>
  <c r="D240" i="43"/>
  <c r="D132" i="43"/>
  <c r="AF42" i="43"/>
  <c r="AG42" i="43"/>
  <c r="D291" i="43"/>
  <c r="AL28" i="21"/>
  <c r="AL21" i="21"/>
  <c r="D275" i="43"/>
  <c r="D274" i="43"/>
  <c r="N38" i="43"/>
  <c r="N40" i="43"/>
  <c r="AM18" i="21"/>
  <c r="AM34" i="21"/>
  <c r="AM63" i="16"/>
  <c r="N220" i="43"/>
  <c r="AB220" i="43"/>
  <c r="N265" i="43"/>
  <c r="E277" i="43"/>
  <c r="N221" i="43"/>
  <c r="AB221" i="43"/>
  <c r="N219" i="43"/>
  <c r="AB219" i="43"/>
  <c r="N108" i="43"/>
  <c r="AB108" i="43"/>
  <c r="N218" i="43"/>
  <c r="AB218" i="43"/>
  <c r="N105" i="43"/>
  <c r="N106" i="43"/>
  <c r="AB106" i="43"/>
  <c r="N107" i="43"/>
  <c r="I70" i="43"/>
  <c r="I71" i="43"/>
  <c r="I56" i="43"/>
  <c r="L301" i="43"/>
  <c r="I57" i="43"/>
  <c r="I66" i="43"/>
  <c r="AB44" i="43"/>
  <c r="I62" i="43"/>
  <c r="I59" i="43"/>
  <c r="I69" i="43"/>
  <c r="I68" i="43"/>
  <c r="I64" i="43"/>
  <c r="E194" i="43"/>
  <c r="I58" i="43"/>
  <c r="I65" i="43"/>
  <c r="I63" i="43"/>
  <c r="E205" i="43"/>
  <c r="AL65" i="16"/>
  <c r="AL64" i="16"/>
  <c r="AB101" i="43"/>
  <c r="AF101" i="43"/>
  <c r="AG101" i="43"/>
  <c r="D293" i="43"/>
  <c r="N45" i="43"/>
  <c r="E195" i="43"/>
  <c r="G20" i="43"/>
  <c r="N149" i="43"/>
  <c r="N177" i="43"/>
  <c r="D177" i="43"/>
  <c r="E198" i="43"/>
  <c r="G21" i="43"/>
  <c r="D173" i="43"/>
  <c r="D199" i="43"/>
  <c r="D170" i="43"/>
  <c r="D196" i="43"/>
  <c r="N150" i="43"/>
  <c r="N178" i="43"/>
  <c r="E275" i="43"/>
  <c r="E274" i="43"/>
  <c r="E273" i="43"/>
  <c r="E276" i="43"/>
  <c r="H25" i="43"/>
  <c r="AF106" i="43"/>
  <c r="AG106" i="43"/>
  <c r="E293" i="43"/>
  <c r="D134" i="43"/>
  <c r="E238" i="43"/>
  <c r="AC217" i="43"/>
  <c r="E248" i="43"/>
  <c r="E254" i="43"/>
  <c r="E241" i="43"/>
  <c r="G23" i="43"/>
  <c r="AC220" i="43"/>
  <c r="E251" i="43"/>
  <c r="E257" i="43"/>
  <c r="G24" i="43"/>
  <c r="G17" i="43"/>
  <c r="E259" i="43"/>
  <c r="AM65" i="16"/>
  <c r="AM64" i="16"/>
  <c r="E242" i="43"/>
  <c r="AC221" i="43"/>
  <c r="E252" i="43"/>
  <c r="E258" i="43"/>
  <c r="AM28" i="21"/>
  <c r="AM21" i="21"/>
  <c r="N148" i="43"/>
  <c r="N176" i="43"/>
  <c r="D136" i="43"/>
  <c r="AF108" i="43"/>
  <c r="AG108" i="43"/>
  <c r="E295" i="43"/>
  <c r="E240" i="43"/>
  <c r="AC219" i="43"/>
  <c r="E250" i="43"/>
  <c r="E256" i="43"/>
  <c r="AF44" i="43"/>
  <c r="AG44" i="43"/>
  <c r="E291" i="43"/>
  <c r="E132" i="43"/>
  <c r="N147" i="43"/>
  <c r="N175" i="43"/>
  <c r="AB105" i="43"/>
  <c r="AC218" i="43"/>
  <c r="E249" i="43"/>
  <c r="E255" i="43"/>
  <c r="E239" i="43"/>
  <c r="AB107" i="43"/>
  <c r="D175" i="43"/>
  <c r="E196" i="43"/>
  <c r="D176" i="43"/>
  <c r="E197" i="43"/>
  <c r="D178" i="43"/>
  <c r="E199" i="43"/>
  <c r="AF105" i="43"/>
  <c r="AG105" i="43"/>
  <c r="E292" i="43"/>
  <c r="D133" i="43"/>
  <c r="AF107" i="43"/>
  <c r="AG107" i="43"/>
  <c r="E294" i="43"/>
  <c r="D135" i="43"/>
</calcChain>
</file>

<file path=xl/sharedStrings.xml><?xml version="1.0" encoding="utf-8"?>
<sst xmlns="http://schemas.openxmlformats.org/spreadsheetml/2006/main" count="1604" uniqueCount="661">
  <si>
    <t>Concepto:</t>
  </si>
  <si>
    <t>Total</t>
  </si>
  <si>
    <t>Equipo de transporte:</t>
  </si>
  <si>
    <t>Gastos de estudios</t>
  </si>
  <si>
    <t>Gastos de organización</t>
  </si>
  <si>
    <t>Depreciaciones y amortizaciones</t>
  </si>
  <si>
    <t>Total de fuentes:</t>
  </si>
  <si>
    <t xml:space="preserve">Terreno </t>
  </si>
  <si>
    <t>Construcción</t>
  </si>
  <si>
    <t>Maquinaria</t>
  </si>
  <si>
    <t>Muebles y enseres</t>
  </si>
  <si>
    <t>Equipo de transporte</t>
  </si>
  <si>
    <t>Gastos de instalación</t>
  </si>
  <si>
    <t>Costo de producción</t>
  </si>
  <si>
    <t>Costo de operación</t>
  </si>
  <si>
    <t>Gastos de administración</t>
  </si>
  <si>
    <t>Total de usos :</t>
  </si>
  <si>
    <t>Ventas netas</t>
  </si>
  <si>
    <t>Utilidad bruta</t>
  </si>
  <si>
    <t>Gastos de operación</t>
  </si>
  <si>
    <t>Utilidad de operación</t>
  </si>
  <si>
    <t>Utilidad antes de impuestos</t>
  </si>
  <si>
    <t>Utilidad neta</t>
  </si>
  <si>
    <t>Activo:</t>
  </si>
  <si>
    <t>Activo circulante:</t>
  </si>
  <si>
    <t>Caja y bancos</t>
  </si>
  <si>
    <t>Activo fijo:</t>
  </si>
  <si>
    <t>Terreno</t>
  </si>
  <si>
    <t>Maquinaria y equipo</t>
  </si>
  <si>
    <t>Total de activo fijo:</t>
  </si>
  <si>
    <t>Activo diferido:</t>
  </si>
  <si>
    <t>Total de inversión diferida:</t>
  </si>
  <si>
    <t>Activo total:</t>
  </si>
  <si>
    <t>Capital:</t>
  </si>
  <si>
    <t>Capital social</t>
  </si>
  <si>
    <t>Utilidades del ejercicio</t>
  </si>
  <si>
    <t>Utilidades acumuladas</t>
  </si>
  <si>
    <t>Porcentaje
%</t>
  </si>
  <si>
    <t>Total de depreciaciones</t>
  </si>
  <si>
    <t>Total de amortizaciones</t>
  </si>
  <si>
    <t>Estructura de la inversión</t>
  </si>
  <si>
    <t>Monto</t>
  </si>
  <si>
    <t>Total de inversión:</t>
  </si>
  <si>
    <t>Saldo inicial</t>
  </si>
  <si>
    <t>Amortización</t>
  </si>
  <si>
    <t>Saldo final</t>
  </si>
  <si>
    <t xml:space="preserve">Construcción </t>
  </si>
  <si>
    <t>Nombre del Proyecto:</t>
  </si>
  <si>
    <t>Nombre(s) de los Promoventes:</t>
  </si>
  <si>
    <t>Tasa</t>
  </si>
  <si>
    <t>Porcentajes</t>
  </si>
  <si>
    <t>Mes</t>
  </si>
  <si>
    <t>Pago Total</t>
  </si>
  <si>
    <t>I.S.R.</t>
  </si>
  <si>
    <t>Participación a los trabajadores</t>
  </si>
  <si>
    <t xml:space="preserve">Dividendos </t>
  </si>
  <si>
    <t>Pasivo y Capital</t>
  </si>
  <si>
    <t>Pasivo Fijo</t>
  </si>
  <si>
    <t>Total de Pasivo Fijo</t>
  </si>
  <si>
    <t>Pasivo Total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</si>
  <si>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</si>
  <si>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</si>
  <si>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</si>
  <si>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</si>
  <si>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</si>
  <si>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</si>
  <si>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</si>
  <si>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</si>
  <si>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</si>
  <si>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</si>
  <si>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</si>
  <si>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</si>
  <si>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Primer año de operaciones</t>
  </si>
  <si>
    <t>Total      1er año</t>
  </si>
  <si>
    <t>materias primas</t>
  </si>
  <si>
    <t>Costo total de la materia prima</t>
  </si>
  <si>
    <t>Sueldo neto del personal de producción</t>
  </si>
  <si>
    <t>Requerimiento y costos de materias primas</t>
  </si>
  <si>
    <t>Requerimientos</t>
  </si>
  <si>
    <t>Costos</t>
  </si>
  <si>
    <t>Total         1er año</t>
  </si>
  <si>
    <t>Inicial</t>
  </si>
  <si>
    <t>Total activo fijo:</t>
  </si>
  <si>
    <t>Total del activo circulante</t>
  </si>
  <si>
    <t>Total de activo diferido:</t>
  </si>
  <si>
    <t xml:space="preserve">Total del activo </t>
  </si>
  <si>
    <t>Pasivo circulante</t>
  </si>
  <si>
    <t>Documentos por pagar</t>
  </si>
  <si>
    <t>Proveedores</t>
  </si>
  <si>
    <t>Impuestos por pagar</t>
  </si>
  <si>
    <t>Anticipo de clientes</t>
  </si>
  <si>
    <t>Total del pasivo circulante</t>
  </si>
  <si>
    <t>Sueldo neto del personal administrativo</t>
  </si>
  <si>
    <t>Gastos indirectos de personal</t>
  </si>
  <si>
    <t>Ingresos totales</t>
  </si>
  <si>
    <t>Total de ingresos</t>
  </si>
  <si>
    <t>Gastos financieros proyectos productivos</t>
  </si>
  <si>
    <t>Origen</t>
  </si>
  <si>
    <t>Otras aportaciones</t>
  </si>
  <si>
    <t>Total de otras aportaciones</t>
  </si>
  <si>
    <t>Pasivos</t>
  </si>
  <si>
    <t>Total de Pasivos</t>
  </si>
  <si>
    <t>Balance Inicial</t>
  </si>
  <si>
    <t>Intereses por pagar</t>
  </si>
  <si>
    <t>Capital Contable</t>
  </si>
  <si>
    <t>Pasivo mas capital</t>
  </si>
  <si>
    <t>Numero de socios en la cooperativa</t>
  </si>
  <si>
    <t>Ventas</t>
  </si>
  <si>
    <t>Fuentes menos usos :</t>
  </si>
  <si>
    <t>Depreciacion acumulada</t>
  </si>
  <si>
    <t>Amortizacion acumulada</t>
  </si>
  <si>
    <t>Segundo año de operaciones</t>
  </si>
  <si>
    <t>¿Es una cooperativa o una empresa privada?</t>
  </si>
  <si>
    <t>Porcentaje de dividendos sobre utilidades</t>
  </si>
  <si>
    <t>Socios registrados en SHCP</t>
  </si>
  <si>
    <t>IMSS:18%, ISPT: 15-33%, Vac: 6/360, Aguin: 15/360</t>
  </si>
  <si>
    <t>Utilidades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</si>
  <si>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</si>
  <si>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</si>
  <si>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</si>
  <si>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</si>
  <si>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</si>
  <si>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</si>
  <si>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</si>
  <si>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</si>
  <si>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</si>
  <si>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</si>
  <si>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</si>
  <si>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</si>
  <si>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Diferencia:</t>
  </si>
  <si>
    <t>Total                          1er año</t>
  </si>
  <si>
    <t>Total                           1er año</t>
  </si>
  <si>
    <t>Total                         2do. año</t>
  </si>
  <si>
    <t>Total                            2do. año</t>
  </si>
  <si>
    <t>Ingresos</t>
  </si>
  <si>
    <t>Personal</t>
  </si>
  <si>
    <t>Conceptos</t>
  </si>
  <si>
    <t xml:space="preserve">Gastos de Operación </t>
  </si>
  <si>
    <t>Gastos de Producción indirectos</t>
  </si>
  <si>
    <t>Total                   2do. año</t>
  </si>
  <si>
    <t>Total                  1er año</t>
  </si>
  <si>
    <t>Total            2do. año</t>
  </si>
  <si>
    <t xml:space="preserve">Activo fijo: </t>
  </si>
  <si>
    <t>Inversiones anuales</t>
  </si>
  <si>
    <t>Valor Inicial</t>
  </si>
  <si>
    <t>Inversiones</t>
  </si>
  <si>
    <t>Depreciación Anual</t>
  </si>
  <si>
    <t>Depreciaciones</t>
  </si>
  <si>
    <t>Depreciación acumulada</t>
  </si>
  <si>
    <t>Amortizaciones anuales</t>
  </si>
  <si>
    <t>Amortizaciones Acumuladas</t>
  </si>
  <si>
    <t>Total                          3er año</t>
  </si>
  <si>
    <t>Total                          4to año</t>
  </si>
  <si>
    <t>Total                          5to año</t>
  </si>
  <si>
    <t>Total                          6to año</t>
  </si>
  <si>
    <t>Estado de Resultados</t>
  </si>
  <si>
    <t>Utilidades antes de dividendos</t>
  </si>
  <si>
    <t>Estado de Fuentes y Usos</t>
  </si>
  <si>
    <t>Proforma Anual a 10 años</t>
  </si>
  <si>
    <t>Proforma Mensual</t>
  </si>
  <si>
    <t>Balance</t>
  </si>
  <si>
    <t>Inicio</t>
  </si>
  <si>
    <t>Liquidez del periodo</t>
  </si>
  <si>
    <t>Liquidez acumulada</t>
  </si>
  <si>
    <t>Período inicial</t>
  </si>
  <si>
    <t>Costos y gastos:</t>
  </si>
  <si>
    <t>Pasivo mas Capital</t>
  </si>
  <si>
    <t>Activo menos pasivo</t>
  </si>
  <si>
    <t>Liquidez</t>
  </si>
  <si>
    <t xml:space="preserve">Indicadores </t>
  </si>
  <si>
    <t>Activo total</t>
  </si>
  <si>
    <t>Pasivo total</t>
  </si>
  <si>
    <t>Capital contable</t>
  </si>
  <si>
    <t>Flujos</t>
  </si>
  <si>
    <t>Razones de Liquidez</t>
  </si>
  <si>
    <t>Razones de Rentabilidad</t>
  </si>
  <si>
    <t>Costo-Beneficio</t>
  </si>
  <si>
    <t>Activos por empleo generado</t>
  </si>
  <si>
    <t>Utilidades disponibles por socio</t>
  </si>
  <si>
    <t>Descripciones</t>
  </si>
  <si>
    <t>Inflación prevista para el año</t>
  </si>
  <si>
    <t>Sueldos y salarios de producción</t>
  </si>
  <si>
    <t xml:space="preserve">Porcentajes sobre las ventas netas </t>
  </si>
  <si>
    <t>del Estado de Resultados</t>
  </si>
  <si>
    <t>Dividendos</t>
  </si>
  <si>
    <t>Gracia</t>
  </si>
  <si>
    <t>Tasa:</t>
  </si>
  <si>
    <t>Periodo</t>
  </si>
  <si>
    <t>Meses del ciclo</t>
  </si>
  <si>
    <t>Numero del mes</t>
  </si>
  <si>
    <t>Acredores  diversos y dctos x pagar</t>
  </si>
  <si>
    <t>Indirectos sobre sueldos:</t>
  </si>
  <si>
    <t>Presupuesto de Inversión</t>
  </si>
  <si>
    <t>Gastos de Administración</t>
  </si>
  <si>
    <t>Depreciaciones y Amortizaciones</t>
  </si>
  <si>
    <t>ó Prueba de Liquidez= (activos circulantes-inventarios)/pasivos circulantes; recomendado: mayor que 2.5</t>
  </si>
  <si>
    <t>Imprevistos</t>
  </si>
  <si>
    <t>Asesor contable</t>
  </si>
  <si>
    <t>Gastos de distribución</t>
  </si>
  <si>
    <t>Para el flujo del año anterior</t>
  </si>
  <si>
    <t>Principales materias primas:</t>
  </si>
  <si>
    <t>Proforma mensual</t>
  </si>
  <si>
    <t>Aplicación</t>
  </si>
  <si>
    <t>Crédito</t>
  </si>
  <si>
    <t>Evaluación Económica</t>
  </si>
  <si>
    <t>Inflación:</t>
  </si>
  <si>
    <t>Sueldos y salarios / ventas totales</t>
  </si>
  <si>
    <t>Participación utilidades a trabajadores /empleo</t>
  </si>
  <si>
    <t>utilidad neta/ ventas, porcentaje de las ventas que logran convertirse en  utilidad disponible  -repartible- para los accionistas</t>
  </si>
  <si>
    <t>utilidad neta / capital contable; en que medida se obtienen rendimientos sobre los fondos que los accionistas aportaron</t>
  </si>
  <si>
    <t>Prueba del ácido</t>
  </si>
  <si>
    <t>Margen de utilidad</t>
  </si>
  <si>
    <t>Rendimiento sobre capital contable</t>
  </si>
  <si>
    <t>Rendimiento sobre activos</t>
  </si>
  <si>
    <t>Total inversión</t>
  </si>
  <si>
    <t>de la Inversión</t>
  </si>
  <si>
    <t>del Estado de Origen y Aplicación de Recursos</t>
  </si>
  <si>
    <t>Amortización de créditos proyectos productivos</t>
  </si>
  <si>
    <t>Total del activo</t>
  </si>
  <si>
    <t>Pasivo fijo</t>
  </si>
  <si>
    <t>Creditos principales</t>
  </si>
  <si>
    <t>Total de pasivo fijo</t>
  </si>
  <si>
    <t>Pago de capital de riesgo</t>
  </si>
  <si>
    <t>Exento</t>
  </si>
  <si>
    <t>Inversión</t>
  </si>
  <si>
    <t>Inversión total:</t>
  </si>
  <si>
    <t>Inversión circulante</t>
  </si>
  <si>
    <t>Inversión fija total:</t>
  </si>
  <si>
    <t>Inversión diferida</t>
  </si>
  <si>
    <t>Total Aportación de Capital Externo</t>
  </si>
  <si>
    <t>Acreedores  diversos</t>
  </si>
  <si>
    <t>Aportación de socios:</t>
  </si>
  <si>
    <t>sobrante para completar la inversión total requerida</t>
  </si>
  <si>
    <t>Activo</t>
  </si>
  <si>
    <t>Crédito Refaccionario</t>
  </si>
  <si>
    <t>Crédito de Avio</t>
  </si>
  <si>
    <t xml:space="preserve">Inversión </t>
  </si>
  <si>
    <t>Depreciación</t>
  </si>
  <si>
    <t>Total sueldos y salarios de administración</t>
  </si>
  <si>
    <t>Sueldos del personal administrativo</t>
  </si>
  <si>
    <t>Materias Primas</t>
  </si>
  <si>
    <t>Costos de materias primas</t>
  </si>
  <si>
    <t>Personal de Producción</t>
  </si>
  <si>
    <t>Gastos indirectos de personal de producción</t>
  </si>
  <si>
    <t>Total sueldos y salarios de producción</t>
  </si>
  <si>
    <t>Proforma Anual (10 años)</t>
  </si>
  <si>
    <t>Materias primas</t>
  </si>
  <si>
    <t>Vida  útil
(años)</t>
  </si>
  <si>
    <t>Área de producción:</t>
  </si>
  <si>
    <t>Área de administración:</t>
  </si>
  <si>
    <t>Depreciación Acumulada</t>
  </si>
  <si>
    <t>Total de depreciaciones área de producción</t>
  </si>
  <si>
    <t>Total de amortizaciones área de producción</t>
  </si>
  <si>
    <t>Total de amortizaciones y depreciaciones  área de producción</t>
  </si>
  <si>
    <t>Total de amortizaciones acumuladas área de producción</t>
  </si>
  <si>
    <t>Total de depreciaciones acumuladas área de producción</t>
  </si>
  <si>
    <t>Total de amortizaciones y depreciaciones acumuladas área de producción</t>
  </si>
  <si>
    <t>Activo circulante</t>
  </si>
  <si>
    <t>Activo fijo</t>
  </si>
  <si>
    <t>Total de maquinaria y equipo</t>
  </si>
  <si>
    <t>Amortizaciones acumuladas</t>
  </si>
  <si>
    <t>Total de depreciaciones acumuladas administración</t>
  </si>
  <si>
    <t>Total de amortizaciones acumuladas administración</t>
  </si>
  <si>
    <t>Total de amortizaciones y depreciaciones acumuladas administración</t>
  </si>
  <si>
    <t>Total de depreciaciones administración</t>
  </si>
  <si>
    <t>Total de amortizaciones administración</t>
  </si>
  <si>
    <t>Total de amortizaciones y depreciaciones administración</t>
  </si>
  <si>
    <t>Interés</t>
  </si>
  <si>
    <t>Nombre del promovente o representante</t>
  </si>
  <si>
    <t>Energía eléctrica</t>
  </si>
  <si>
    <t>Agua</t>
  </si>
  <si>
    <t>Gas o gasolina y lubricantes Autos</t>
  </si>
  <si>
    <t>Reparaciones autos</t>
  </si>
  <si>
    <t>Artículos de limpieza</t>
  </si>
  <si>
    <t>Seguros de instalaciones</t>
  </si>
  <si>
    <t>Registros diversos</t>
  </si>
  <si>
    <t>Suscripciones</t>
  </si>
  <si>
    <t>Renta de oficinas</t>
  </si>
  <si>
    <t>Papelería y artículos de oficina</t>
  </si>
  <si>
    <t>Gastos de publicidad</t>
  </si>
  <si>
    <t>Pasajes y viáticos</t>
  </si>
  <si>
    <t>Empleados administrativos</t>
  </si>
  <si>
    <t>Total de equipo de transporte y otros gastos</t>
  </si>
  <si>
    <t>Fecha de elaboración de cedula</t>
  </si>
  <si>
    <t>Gastos financieros créditos con instituciones financieras</t>
  </si>
  <si>
    <t>Amortización de créditos con instituciones financieras</t>
  </si>
  <si>
    <t>Gastos financieros con instituciones financieras</t>
  </si>
  <si>
    <t>Créditos Institciones financieras</t>
  </si>
  <si>
    <t>Plaza (mes)</t>
  </si>
  <si>
    <t>Tasa año</t>
  </si>
  <si>
    <t>Aportación socios</t>
  </si>
  <si>
    <t>Sobrante de la inversión</t>
  </si>
  <si>
    <t>Operación financiera</t>
  </si>
  <si>
    <t>Costos de producción</t>
  </si>
  <si>
    <t>Gastos financieros</t>
  </si>
  <si>
    <t>Cooperativa = 1    Empresa =2</t>
  </si>
  <si>
    <t>Cedula de Ingresos</t>
  </si>
  <si>
    <t>Mobiliario y equipo de oficina</t>
  </si>
  <si>
    <t>Calulo de pagos anticipados de impuestos..</t>
  </si>
  <si>
    <t>suma de meses positivos</t>
  </si>
  <si>
    <t>pago de ISR</t>
  </si>
  <si>
    <t>Pago de ISR mensual</t>
  </si>
  <si>
    <t>Cedula de Indicadores financieros y economicos</t>
  </si>
  <si>
    <t>Esructura de la Inversión</t>
  </si>
  <si>
    <t>Total  gastos de administración y ventas</t>
  </si>
  <si>
    <t>Total mobiliario y equipo de oficina</t>
  </si>
  <si>
    <t>Programa de Inversiones</t>
  </si>
  <si>
    <t>Crédito de Avío</t>
  </si>
  <si>
    <t>Credito Refaccionario</t>
  </si>
  <si>
    <t>Proveedor A</t>
  </si>
  <si>
    <t>Varios Proveedores</t>
  </si>
  <si>
    <t>Comisiones por ventas</t>
  </si>
  <si>
    <t xml:space="preserve">Gastos de equipo de  transporte </t>
  </si>
  <si>
    <t>Adaptaciones y modificaciones diversas</t>
  </si>
  <si>
    <t>Electricidad</t>
  </si>
  <si>
    <t>Participacion de utilidades</t>
  </si>
  <si>
    <t>Precio ajustado</t>
  </si>
  <si>
    <t>Costos de materias primas indexado</t>
  </si>
  <si>
    <t>Sueldo real</t>
  </si>
  <si>
    <t>Sueldo indexado</t>
  </si>
  <si>
    <t>Numero</t>
  </si>
  <si>
    <t>Valor del dólar</t>
  </si>
  <si>
    <t>Incremento en las ventas (%)</t>
  </si>
  <si>
    <t>incremento en el costo de materias primas (%)</t>
  </si>
  <si>
    <t>Incremento en los sueldos (%)</t>
  </si>
  <si>
    <t>Monto de apoyo en capital de riesgo</t>
  </si>
  <si>
    <t>Salario mínimo</t>
  </si>
  <si>
    <t>El salario mínimo diario actual</t>
  </si>
  <si>
    <t>Total Exento</t>
  </si>
  <si>
    <t>Materia primas</t>
  </si>
  <si>
    <t>Sueldos</t>
  </si>
  <si>
    <t>GA y GO</t>
  </si>
  <si>
    <t>TIR Fin 5años</t>
  </si>
  <si>
    <t>TIR Fin 10 años</t>
  </si>
  <si>
    <t>VPN Fin 5 Años</t>
  </si>
  <si>
    <t>TIR Econ 5años</t>
  </si>
  <si>
    <t>TIR Econ 10 años</t>
  </si>
  <si>
    <t>VPN Econ 5 Años</t>
  </si>
  <si>
    <t>VPN Econ10 Años</t>
  </si>
  <si>
    <t>Incremento en gastos de administración y de operación (%)</t>
  </si>
  <si>
    <t>Monto del crédito de avío</t>
  </si>
  <si>
    <t>Tasa anual de interés pactada en créditos de avío</t>
  </si>
  <si>
    <t>Meses de gracia en crédito de avío</t>
  </si>
  <si>
    <t>Monto del crédito refaccionario</t>
  </si>
  <si>
    <t>Tasa anual de interés pactada en créditos refaccionario</t>
  </si>
  <si>
    <t>Meses de gracia en crédito refaccionario</t>
  </si>
  <si>
    <t>Inversión total</t>
  </si>
  <si>
    <t>Sueldos y salarios de admón. y ventas</t>
  </si>
  <si>
    <t>Avío</t>
  </si>
  <si>
    <t>Entrega</t>
  </si>
  <si>
    <t>Sueldos y salarios</t>
  </si>
  <si>
    <t>Incremento anual de</t>
  </si>
  <si>
    <t>Cedula de Depreciaciones y amortizaciones</t>
  </si>
  <si>
    <t>aportacion de los socios</t>
  </si>
  <si>
    <t>Fuentes de financiamiento</t>
  </si>
  <si>
    <t>A corto plazo</t>
  </si>
  <si>
    <t>a largo plazo</t>
  </si>
  <si>
    <t>depreciacion</t>
  </si>
  <si>
    <t>amortizacion</t>
  </si>
  <si>
    <t>Sueldo Neto</t>
  </si>
  <si>
    <t>Sueldo Neto ajustado</t>
  </si>
  <si>
    <t>Fecha de incio de operaciones</t>
  </si>
  <si>
    <t>Servicios</t>
  </si>
  <si>
    <t>Porcentajes sobre ventas</t>
  </si>
  <si>
    <t>Inversión fija</t>
  </si>
  <si>
    <t>Tipo de Crédito</t>
  </si>
  <si>
    <t>Credito con institucion financiera Avio</t>
  </si>
  <si>
    <t>Credito con institucion financiera Refaccionario</t>
  </si>
  <si>
    <t>Cedula de Gastos de Operación</t>
  </si>
  <si>
    <t>Subcontratación de limpieza</t>
  </si>
  <si>
    <t>Subcontratación de vigilancia</t>
  </si>
  <si>
    <t>Teléfono e internet</t>
  </si>
  <si>
    <t>Subtotal de gastos de operación</t>
  </si>
  <si>
    <t>Total de gastos de operación</t>
  </si>
  <si>
    <t>Cedula de Gastos de Administración y Ventas</t>
  </si>
  <si>
    <t>Subtotal de gastos de administración</t>
  </si>
  <si>
    <t>Total de Gastos de administración y ventas</t>
  </si>
  <si>
    <t>Concepto</t>
  </si>
  <si>
    <t>Cedula de Insumos</t>
  </si>
  <si>
    <t>Aportación de los socios</t>
  </si>
  <si>
    <t>Derrama de sueldos</t>
  </si>
  <si>
    <t xml:space="preserve">Sueldo promedio mensual </t>
  </si>
  <si>
    <t>Flujo minimo mensual primer año</t>
  </si>
  <si>
    <t>Flujo minimo mensual segundo año</t>
  </si>
  <si>
    <t>% incremento en preventa-venta-postventa</t>
  </si>
  <si>
    <t>Escenario</t>
  </si>
  <si>
    <t>Gasto  Periodico</t>
  </si>
  <si>
    <t>Gsto periodico indexado</t>
  </si>
  <si>
    <t>Materiales de empaque y diversos</t>
  </si>
  <si>
    <t>Valor periodico indexado</t>
  </si>
  <si>
    <t>Cedula de Personal de Produccion</t>
  </si>
  <si>
    <t>Prestamo de avío</t>
  </si>
  <si>
    <t xml:space="preserve">Ventas </t>
  </si>
  <si>
    <t>Otros ingresos</t>
  </si>
  <si>
    <t>Ingresos por ventas</t>
  </si>
  <si>
    <t>aportaciones en especie</t>
  </si>
  <si>
    <t>Inventarios</t>
  </si>
  <si>
    <t>Inventario</t>
  </si>
  <si>
    <t>inventario</t>
  </si>
  <si>
    <t>Credito de Avío</t>
  </si>
  <si>
    <t>Credito Avio</t>
  </si>
  <si>
    <t>Estructura de la inversion  inicial y primer año</t>
  </si>
  <si>
    <t xml:space="preserve">%/Inver: </t>
  </si>
  <si>
    <t xml:space="preserve">TIR 10 años: </t>
  </si>
  <si>
    <t xml:space="preserve">VPN 10 Años: </t>
  </si>
  <si>
    <t xml:space="preserve">TIR 5 Años: </t>
  </si>
  <si>
    <t xml:space="preserve">VPN 5 Años: </t>
  </si>
  <si>
    <t>Gerente</t>
  </si>
  <si>
    <t>Seguros de administración y ventas</t>
  </si>
  <si>
    <t>Base</t>
  </si>
  <si>
    <t>Refaccionario</t>
  </si>
  <si>
    <t>Seguros de automóviles yu equipos de transporte</t>
  </si>
  <si>
    <t>Asistente  sistemas de informacion</t>
  </si>
  <si>
    <t>Plato fuerte</t>
  </si>
  <si>
    <t>Entradas</t>
  </si>
  <si>
    <t>Precio</t>
  </si>
  <si>
    <t>Cocinero</t>
  </si>
  <si>
    <t>Ayudantes de cocina</t>
  </si>
  <si>
    <t>Barman</t>
  </si>
  <si>
    <t>Compras</t>
  </si>
  <si>
    <t>Refrigerador</t>
  </si>
  <si>
    <t>Congelador</t>
  </si>
  <si>
    <t>Cocina industrial</t>
  </si>
  <si>
    <t>Mesas de acero inoxidable</t>
  </si>
  <si>
    <t>Oficina del director</t>
  </si>
  <si>
    <t>Oficna del cocinero</t>
  </si>
  <si>
    <t>Pick up Toyota Laredo 2006</t>
  </si>
  <si>
    <t>fecha de inicio</t>
  </si>
  <si>
    <t>año</t>
  </si>
  <si>
    <t>mes</t>
  </si>
  <si>
    <t>ene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</si>
  <si>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</si>
  <si>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</si>
  <si>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</si>
  <si>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</si>
  <si>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</si>
  <si>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</si>
  <si>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</si>
  <si>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</si>
  <si>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</si>
  <si>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</si>
  <si>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</si>
  <si>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>Lun</t>
  </si>
  <si>
    <t>Mar.</t>
  </si>
  <si>
    <t>Mié.</t>
  </si>
  <si>
    <t>Jue.</t>
  </si>
  <si>
    <t>Vie.</t>
  </si>
  <si>
    <t>Sáb.</t>
  </si>
  <si>
    <t>Dom.</t>
  </si>
  <si>
    <t>Inicio operaciones</t>
  </si>
  <si>
    <t>Martin Delgado</t>
  </si>
  <si>
    <t>Grupo Delgado´s</t>
  </si>
  <si>
    <t>Años de aportación capital de riesgo</t>
  </si>
  <si>
    <t>Feb.</t>
  </si>
  <si>
    <t>Abr.</t>
  </si>
  <si>
    <t>May.</t>
  </si>
  <si>
    <t>Jun.</t>
  </si>
  <si>
    <t>Jul.</t>
  </si>
  <si>
    <t>Ago.</t>
  </si>
  <si>
    <t>Sep.</t>
  </si>
  <si>
    <t>Oct.</t>
  </si>
  <si>
    <t>Nov.</t>
  </si>
  <si>
    <t>Dec</t>
  </si>
  <si>
    <t>Materias primas o insumos</t>
  </si>
  <si>
    <t>Estacionalidad</t>
  </si>
  <si>
    <t>Otro</t>
  </si>
  <si>
    <t>Gastos de operación y de administración y ventas</t>
  </si>
  <si>
    <t>Utilidades de socios</t>
  </si>
  <si>
    <t>Flujo Económico Acumulado con creditos</t>
  </si>
  <si>
    <t>Flujo financiero socios</t>
  </si>
  <si>
    <t>Flujo económico socios</t>
  </si>
  <si>
    <t>Flujo económico con creditos</t>
  </si>
  <si>
    <t>Flujo Financiero socios Acumulado</t>
  </si>
  <si>
    <t>Flujo económico Acumulado</t>
  </si>
  <si>
    <t>Flujo financiero con creditos</t>
  </si>
  <si>
    <t>Flujo financiero con creditos Acumulado</t>
  </si>
  <si>
    <t>Socios</t>
  </si>
  <si>
    <t>Socios -Creditos</t>
  </si>
  <si>
    <t>Económica</t>
  </si>
  <si>
    <t xml:space="preserve">TIR </t>
  </si>
  <si>
    <t xml:space="preserve">Económica 5 años </t>
  </si>
  <si>
    <t xml:space="preserve">Económica 10 años </t>
  </si>
  <si>
    <t>Financiera 5 años</t>
  </si>
  <si>
    <t>Financiera 10 años</t>
  </si>
  <si>
    <t>Faltante de liquidez</t>
  </si>
  <si>
    <t>Tasa Interna de Retorno   -   Valor Presente Neto</t>
  </si>
  <si>
    <t>Financiera</t>
  </si>
  <si>
    <t xml:space="preserve">Flujo Financiero Socios </t>
  </si>
  <si>
    <t>Valor Presente Neto al</t>
  </si>
  <si>
    <t>Flujo Financiero Socios - Créditos</t>
  </si>
  <si>
    <t>Flujo Económico Socios</t>
  </si>
  <si>
    <t>Fujo Economico Socios - Créditos</t>
  </si>
  <si>
    <t>Flujo de efectivo a valor presente con tasa de 5, 10, 15, y 20%</t>
  </si>
  <si>
    <t>Flujo de efectivo acumulado a valor presente con tasa de 5, 10, 15, y 20%</t>
  </si>
  <si>
    <t>Suma del flujo a 5 años</t>
  </si>
  <si>
    <t>Suma del flujo a 10 años</t>
  </si>
  <si>
    <t xml:space="preserve">Meses de pago de la inversión </t>
  </si>
  <si>
    <t xml:space="preserve">Meses de  pago Inver. Deflactada al </t>
  </si>
  <si>
    <t>Periodo de recuperacion del efectivo y del efectivo descontado (PR y PRD) Meses</t>
  </si>
  <si>
    <t>Tasa Contable de Rendimiento (TCR)</t>
  </si>
  <si>
    <t>TCR 5 años</t>
  </si>
  <si>
    <t>TCR 10 años</t>
  </si>
  <si>
    <t>Fujos de efectvos según Estado de Resultados (economico) y Estado de Fuentes y Usos (financero)</t>
  </si>
  <si>
    <t>Periodo de Recuperación, PR (meses de pago según el flujo de efectivo acumulado a valor presente) y periodo de Recueración del Efectivo Descontado PRD, (deflactados al  5, 10, 15, y 20%)</t>
  </si>
  <si>
    <t>Valor Presente Neto a diferentes tasas en 10 años</t>
  </si>
  <si>
    <t>Valor Presente Neto a diferentes tasas en 5 años</t>
  </si>
  <si>
    <t>Valor Terminal Neto (VTN) con tasas de 5, 10, 15, y 20% a 10 años</t>
  </si>
  <si>
    <t>Valor Terminal Neto a diferentes tasas de inflactación en 10 años</t>
  </si>
  <si>
    <t>Flujo</t>
  </si>
  <si>
    <t>VTB</t>
  </si>
  <si>
    <t xml:space="preserve">Valor Terminal Neto. Deflactada al </t>
  </si>
  <si>
    <t xml:space="preserve">Valor Presente Neto, deflactado al </t>
  </si>
  <si>
    <t>Valor Terminal Bruto (VTB), deflactado al</t>
  </si>
  <si>
    <t>Rendimiento del Costo de Oportunidad (RCO) a diferentes tasas de inflactación en 10 años</t>
  </si>
  <si>
    <t>Rendimiento del Costo de Oportunidad (RCO), al</t>
  </si>
  <si>
    <t>TIR</t>
  </si>
  <si>
    <t xml:space="preserve">Flujos de efectivo </t>
  </si>
  <si>
    <t>Tasa Interna de Retono Modiifcada (TIRM) a diferentes tasas</t>
  </si>
  <si>
    <t>Liquidez negativa</t>
  </si>
  <si>
    <t>Año 1</t>
  </si>
  <si>
    <t>Año 2</t>
  </si>
  <si>
    <t>Sueldos y salarios producción</t>
  </si>
  <si>
    <t>Gastos de Admón y ventas</t>
  </si>
  <si>
    <t>Materias prmas</t>
  </si>
  <si>
    <r>
      <t xml:space="preserve">Total meses crédito avío, </t>
    </r>
    <r>
      <rPr>
        <sz val="9"/>
        <color rgb="FFFF0000"/>
        <rFont val="Arial"/>
        <family val="2"/>
      </rPr>
      <t>Max 72 meses:</t>
    </r>
  </si>
  <si>
    <r>
      <t xml:space="preserve">Total meses crédito refaccionario, </t>
    </r>
    <r>
      <rPr>
        <sz val="8"/>
        <color rgb="FFFF0000"/>
        <rFont val="Arial"/>
        <family val="2"/>
      </rPr>
      <t>Max 72 meses</t>
    </r>
  </si>
  <si>
    <t xml:space="preserve">Mes de aprobación del crédito refaccionario </t>
  </si>
  <si>
    <t>Mes de aprobación del crédito de avío</t>
  </si>
  <si>
    <t>Indicadores de Rentabilidad</t>
  </si>
  <si>
    <t>TIR 5 años</t>
  </si>
  <si>
    <t>TIR 10 años</t>
  </si>
  <si>
    <t>VPN 5 años 15%</t>
  </si>
  <si>
    <t>VPN 10 años 15%</t>
  </si>
  <si>
    <t>RCO 15%</t>
  </si>
  <si>
    <t>TIRM 15%</t>
  </si>
  <si>
    <t>Indice de Rentabilidad Modificado (IRM) para los flujos a 5 años</t>
  </si>
  <si>
    <t>Indice de Rentabilidad Modificado (IRM) para los flujos a 10 años</t>
  </si>
  <si>
    <t>Flujo Financiero</t>
  </si>
  <si>
    <t>Flujo Económico</t>
  </si>
  <si>
    <t>Socios+Creditos</t>
  </si>
  <si>
    <t>PR meses</t>
  </si>
  <si>
    <t>PRD meses 15%</t>
  </si>
  <si>
    <t>IRM 5 años 15%</t>
  </si>
  <si>
    <t>Capital de riesgo</t>
  </si>
  <si>
    <t>Total                          7mo año</t>
  </si>
  <si>
    <t>Total                          8vo año</t>
  </si>
  <si>
    <t>Pago de dividendos x capital de riesgo</t>
  </si>
  <si>
    <t>Dividendos de capital de riesgo</t>
  </si>
  <si>
    <t>Aportacion de capital de riesgo</t>
  </si>
  <si>
    <t>Mes de inicio</t>
  </si>
  <si>
    <t>años</t>
  </si>
  <si>
    <t>Inversion total</t>
  </si>
  <si>
    <t>Mes de aportación del capital de riesgo (Max 12)</t>
  </si>
  <si>
    <t xml:space="preserve">año: </t>
  </si>
  <si>
    <t>mes:</t>
  </si>
  <si>
    <t>dia:</t>
  </si>
  <si>
    <t>La Lasaña de Garfield</t>
  </si>
  <si>
    <t>Cooperativa y Empresa 100%</t>
  </si>
  <si>
    <t>Cooperativa 2.5% s/ventas arribe del excedente. Empresa 30%</t>
  </si>
  <si>
    <t>M Delgado, M Cañez, A Delgado</t>
  </si>
  <si>
    <t>5 SMM</t>
  </si>
  <si>
    <t>20 SMM</t>
  </si>
  <si>
    <t>Totales</t>
  </si>
  <si>
    <t>Obrero</t>
  </si>
  <si>
    <t>Patrón</t>
  </si>
  <si>
    <t>1 SMM</t>
  </si>
  <si>
    <t>2 SMM</t>
  </si>
  <si>
    <t>10 SMM</t>
  </si>
  <si>
    <t>15 SMM</t>
  </si>
  <si>
    <t>25 SMM</t>
  </si>
  <si>
    <t>Salario Diario</t>
  </si>
  <si>
    <t>Mensual</t>
  </si>
  <si>
    <t>SDI</t>
  </si>
  <si>
    <t>Salario Diario Integrado</t>
  </si>
  <si>
    <t>Base Mensual Integrado</t>
  </si>
  <si>
    <t>Enfermedad y Maternidad</t>
  </si>
  <si>
    <t>Especie - Cuota Fija</t>
  </si>
  <si>
    <t>Especie - Excedente</t>
  </si>
  <si>
    <t>Prestaciones en Dinero</t>
  </si>
  <si>
    <t>Pensionados y Beneficiados</t>
  </si>
  <si>
    <t>Invalidez y Vida</t>
  </si>
  <si>
    <t>Riesgo de Trabajo</t>
  </si>
  <si>
    <t>Guarderias y Prestaciones Sociales</t>
  </si>
  <si>
    <t>Seguro de Retiro</t>
  </si>
  <si>
    <t>Cesantia y Vejez</t>
  </si>
  <si>
    <t>Infonavit</t>
  </si>
  <si>
    <t xml:space="preserve">Total  Indirectos </t>
  </si>
  <si>
    <t>Sueldo Bruto</t>
  </si>
  <si>
    <t>ISR</t>
  </si>
  <si>
    <t>Perc Neta</t>
  </si>
  <si>
    <t>% de indirectos</t>
  </si>
  <si>
    <t>Años de Servicio</t>
  </si>
  <si>
    <t>Dias de vacaciones</t>
  </si>
  <si>
    <t>Prima Vacacional 25%</t>
  </si>
  <si>
    <t>15 dias de Aguinaldo</t>
  </si>
  <si>
    <t>Tablas IMSS 2013</t>
  </si>
  <si>
    <t>Patron</t>
  </si>
  <si>
    <t>OBRERO</t>
  </si>
  <si>
    <t>Estado</t>
  </si>
  <si>
    <t>SEGUROS</t>
  </si>
  <si>
    <t xml:space="preserve">Enfermedad y </t>
  </si>
  <si>
    <t>Especie</t>
  </si>
  <si>
    <t>Maternidad</t>
  </si>
  <si>
    <t>Dinero</t>
  </si>
  <si>
    <t>Invalidez y vida</t>
  </si>
  <si>
    <t>Retiro</t>
  </si>
  <si>
    <t>Cesantia y vejez</t>
  </si>
  <si>
    <t>Guarderias y</t>
  </si>
  <si>
    <t>prestaciones sociales</t>
  </si>
  <si>
    <t>Pensionados</t>
  </si>
  <si>
    <t>Sobre la base de un salario minimo del DF</t>
  </si>
  <si>
    <t>Sobre la diferencia entre el SBC y 3 SMG del DF</t>
  </si>
  <si>
    <t>Del SBC</t>
  </si>
  <si>
    <t>Límite Inferior</t>
  </si>
  <si>
    <t>Límite Superior</t>
  </si>
  <si>
    <t>Cuota Fija</t>
  </si>
  <si>
    <t>% sobre excedente de límite inferior</t>
  </si>
  <si>
    <t>En Adelante</t>
  </si>
  <si>
    <t>Vacaciones (6) y aguinaldo (15)</t>
  </si>
  <si>
    <t>Base:</t>
  </si>
  <si>
    <t>% exed:</t>
  </si>
  <si>
    <t>Exedente:</t>
  </si>
  <si>
    <t>Tot Exed:</t>
  </si>
  <si>
    <t>Vacaciones:</t>
  </si>
  <si>
    <t>Prima Vacac:</t>
  </si>
  <si>
    <t>Aguinaldo</t>
  </si>
  <si>
    <t>Platos</t>
  </si>
  <si>
    <t>Ensaladas</t>
  </si>
  <si>
    <t>Bebidas sin licor</t>
  </si>
  <si>
    <t>Bebidas con licor</t>
  </si>
  <si>
    <t>Postres</t>
  </si>
  <si>
    <t>Inicio de ventas</t>
  </si>
  <si>
    <t>Comensales</t>
  </si>
  <si>
    <t>Valor mensual</t>
  </si>
  <si>
    <t xml:space="preserve">Mesas y decoraciones </t>
  </si>
  <si>
    <t>Bar</t>
  </si>
  <si>
    <t>Mesas de bar</t>
  </si>
  <si>
    <t>Oficina de secretaria</t>
  </si>
  <si>
    <t>Honda pilot 2010</t>
  </si>
  <si>
    <t>Honda Accord</t>
  </si>
  <si>
    <t>Equipo e instalaciones de servicios</t>
  </si>
  <si>
    <t>Aire acondicionado central</t>
  </si>
  <si>
    <t>Red y repetidores de internte</t>
  </si>
  <si>
    <t>Prestamo refaccionario</t>
  </si>
  <si>
    <t>Total de créditos</t>
  </si>
  <si>
    <t>% créditos  sobre la aportación de socios</t>
  </si>
  <si>
    <t>% créditos sobre la inversión total</t>
  </si>
  <si>
    <t>Aportacion de capital</t>
  </si>
  <si>
    <t>VTN 15% 10años</t>
  </si>
  <si>
    <t xml:space="preserve">Utilidad neta / activos totales; indica la productividad de los activos </t>
  </si>
  <si>
    <t>Número de empleos generados</t>
  </si>
  <si>
    <t>TIR 5 años Economica c/créditos</t>
  </si>
  <si>
    <t>TIR 5 años Financiera c/créditos</t>
  </si>
  <si>
    <t>TIR 10 años Economica c/créditos</t>
  </si>
  <si>
    <t>TIR 10 años Financiera c/créditos</t>
  </si>
  <si>
    <t xml:space="preserve">Platos Diarios en promedio </t>
  </si>
  <si>
    <t>Costo por unidad</t>
  </si>
  <si>
    <t>Garrotero o pinche de cocina</t>
  </si>
  <si>
    <t>Asistente de gerencia</t>
  </si>
  <si>
    <t>Secretaria</t>
  </si>
  <si>
    <t>Cajera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</si>
</sst>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8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* #,##0.00_);_(* \(#,##0.00\);_(* &quot;-&quot;??_);_(@_)"/>
    <numFmt numFmtId="165" formatCode="_-* #,##0.00\ _P_t_s_-;\-* #,##0.00\ _P_t_s_-;_-* &quot;-&quot;??\ _P_t_s_-;_-@_-"/>
    <numFmt numFmtId="166" formatCode="0.0%"/>
    <numFmt numFmtId="167" formatCode="#,##0\ \ \ \ \ "/>
    <numFmt numFmtId="168" formatCode="#,##0_ \ \ \ ;[Red]\(#,##0\)\ \ \ \ "/>
    <numFmt numFmtId="169" formatCode="#,##0_ ;[Red]\-#,##0\ "/>
    <numFmt numFmtId="170" formatCode="0_);[Red]\(0\)"/>
    <numFmt numFmtId="171" formatCode="#,##0.0000;[Red]\(#,##0.0000\);"/>
    <numFmt numFmtId="172" formatCode="#,##0_);[Red]\(&quot;$&quot;#,##0\);"/>
    <numFmt numFmtId="173" formatCode="#,##0;[Red]\-#,##0;"/>
    <numFmt numFmtId="174" formatCode="#,##0_);[Red]\(#,##0\);"/>
    <numFmt numFmtId="175" formatCode="#,##0.000;[Red]\-#,##0.000"/>
    <numFmt numFmtId="176" formatCode="#,##0.000_ ;[Red]\-#,##0.000\ "/>
    <numFmt numFmtId="177" formatCode="#,##0.00_ ;[Red]\-#,##0.00\ ;"/>
    <numFmt numFmtId="178" formatCode="&quot;Cuadro&quot;\ 0"/>
    <numFmt numFmtId="179" formatCode="#,##0.00_ ;[Red]\-#,##0.00\ "/>
    <numFmt numFmtId="180" formatCode="#,##0.0"/>
    <numFmt numFmtId="181" formatCode="d\ &quot;de&quot;\ mmmm\ &quot;de&quot;\ yyyy"/>
    <numFmt numFmtId="182" formatCode="&quot;Inf.:&quot;\ 0.0%"/>
    <numFmt numFmtId="183" formatCode="#,##0_ ;[Red]\-#,##0\ ;"/>
    <numFmt numFmtId="184" formatCode="[$-80A]dddd\,\ dd&quot; de &quot;mmmm&quot; de &quot;yyyy;@"/>
    <numFmt numFmtId="185" formatCode="#,##0.0;[Red]\-#,##0.00;"/>
    <numFmt numFmtId="186" formatCode="#,##0.0;[Red]\-#,##0.0;"/>
    <numFmt numFmtId="187" formatCode="#,##0;[Red]\-#,##0.0;"/>
    <numFmt numFmtId="188" formatCode="_-* #,##0\ _P_t_s_-;\-* #,##0\ _P_t_s_-;_-* &quot;-&quot;??\ _P_t_s_-;_-@_-"/>
    <numFmt numFmtId="189" formatCode="[$-C0A]mmm\-yy;@"/>
    <numFmt numFmtId="190" formatCode="0_ ;[Red]\-0\ "/>
    <numFmt numFmtId="191" formatCode="#,##0;[Red]\(#,##0\);"/>
    <numFmt numFmtId="192" formatCode="_([$€]* #,##0.00_);_([$€]* \(#,##0.00\);_([$€]* &quot;-&quot;??_);_(@_)"/>
    <numFmt numFmtId="193" formatCode="0.00_ ;[Red]\-0.00\ ;"/>
    <numFmt numFmtId="194" formatCode="#,##0.0_ ;[Red]\-#,##0.0\ ;"/>
    <numFmt numFmtId="195" formatCode="&quot; no puede exceder de:&quot;\ #,##0_ ;[Red]\-#,##0\ "/>
    <numFmt numFmtId="196" formatCode="0.000%"/>
    <numFmt numFmtId="197" formatCode="0.0000%"/>
    <numFmt numFmtId="198" formatCode="&quot;% Cap  riesgo&quot;\ 0.0%"/>
    <numFmt numFmtId="199" formatCode="#,##0.0;[Red]\-#,##0.0"/>
  </numFmts>
  <fonts count="53" x14ac:knownFonts="1">
    <font>
      <sz val="10"/>
      <name val="Comic Sans MS"/>
      <family val="4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b/>
      <sz val="10"/>
      <name val="Arial Narrow"/>
      <family val="2"/>
    </font>
    <font>
      <sz val="10"/>
      <name val="Arial Narrow"/>
      <family val="2"/>
    </font>
    <font>
      <sz val="14"/>
      <name val="Arial Narrow"/>
      <family val="2"/>
    </font>
    <font>
      <b/>
      <i/>
      <sz val="10"/>
      <name val="Arial Narrow"/>
      <family val="2"/>
    </font>
    <font>
      <b/>
      <sz val="12"/>
      <name val="Arial Narrow"/>
      <family val="2"/>
    </font>
    <font>
      <b/>
      <sz val="10"/>
      <name val="Comic Sans MS"/>
      <family val="4"/>
    </font>
    <font>
      <sz val="10"/>
      <name val="Comic Sans MS"/>
      <family val="4"/>
    </font>
    <font>
      <b/>
      <sz val="14"/>
      <name val="Comic Sans MS"/>
      <family val="4"/>
    </font>
    <font>
      <b/>
      <sz val="10"/>
      <color indexed="10"/>
      <name val="Arial Narrow"/>
      <family val="2"/>
    </font>
    <font>
      <sz val="10"/>
      <color indexed="10"/>
      <name val="Arial Narrow"/>
      <family val="2"/>
    </font>
    <font>
      <b/>
      <sz val="12"/>
      <name val="Comic Sans MS"/>
      <family val="4"/>
    </font>
    <font>
      <b/>
      <sz val="11"/>
      <name val="Comic Sans MS"/>
      <family val="4"/>
    </font>
    <font>
      <sz val="12"/>
      <name val="Comic Sans MS"/>
      <family val="4"/>
    </font>
    <font>
      <sz val="10"/>
      <color indexed="10"/>
      <name val="Comic Sans MS"/>
      <family val="4"/>
    </font>
    <font>
      <sz val="14"/>
      <name val="Comic Sans MS"/>
      <family val="4"/>
    </font>
    <font>
      <sz val="10"/>
      <name val="Comic Sans MS"/>
      <family val="4"/>
    </font>
    <font>
      <sz val="8"/>
      <name val="Comic Sans MS"/>
      <family val="4"/>
    </font>
    <font>
      <b/>
      <i/>
      <u/>
      <sz val="12"/>
      <name val="Arial Narrow"/>
      <family val="2"/>
    </font>
    <font>
      <b/>
      <i/>
      <sz val="12"/>
      <name val="Arial Narrow"/>
      <family val="2"/>
    </font>
    <font>
      <sz val="10"/>
      <name val="Tahoma"/>
      <family val="2"/>
    </font>
    <font>
      <b/>
      <sz val="10"/>
      <name val="Arial"/>
      <family val="2"/>
    </font>
    <font>
      <sz val="9"/>
      <name val="Tahoma"/>
      <family val="2"/>
    </font>
    <font>
      <sz val="9"/>
      <name val="Arial Narrow"/>
      <family val="2"/>
    </font>
    <font>
      <b/>
      <sz val="9"/>
      <name val="Tahoma"/>
      <family val="2"/>
    </font>
    <font>
      <b/>
      <sz val="9"/>
      <name val="Arial"/>
      <family val="2"/>
    </font>
    <font>
      <sz val="9"/>
      <name val="Comic Sans MS"/>
      <family val="4"/>
    </font>
    <font>
      <b/>
      <sz val="12"/>
      <name val="Arial"/>
      <family val="2"/>
    </font>
    <font>
      <sz val="12"/>
      <name val="Arial"/>
      <family val="2"/>
    </font>
    <font>
      <sz val="9"/>
      <name val="Arial"/>
      <family val="2"/>
    </font>
    <font>
      <sz val="14"/>
      <name val="Arial"/>
      <family val="2"/>
    </font>
    <font>
      <b/>
      <sz val="9"/>
      <name val="Comic Sans MS"/>
      <family val="4"/>
    </font>
    <font>
      <b/>
      <sz val="8"/>
      <name val="Comic Sans MS"/>
      <family val="4"/>
    </font>
    <font>
      <sz val="10"/>
      <name val="Arial"/>
      <family val="2"/>
    </font>
    <font>
      <b/>
      <sz val="14"/>
      <name val="Arial"/>
      <family val="2"/>
    </font>
    <font>
      <sz val="10"/>
      <color rgb="FFC00000"/>
      <name val="Arial"/>
      <family val="2"/>
    </font>
    <font>
      <sz val="11"/>
      <name val="Arial"/>
      <family val="2"/>
    </font>
    <font>
      <b/>
      <sz val="10"/>
      <color rgb="FFFF0000"/>
      <name val="Comic Sans MS"/>
      <family val="4"/>
    </font>
    <font>
      <sz val="8"/>
      <name val="Arial"/>
      <family val="2"/>
    </font>
    <font>
      <sz val="9"/>
      <color rgb="FFFF0000"/>
      <name val="Arial"/>
      <family val="2"/>
    </font>
    <font>
      <sz val="8"/>
      <color rgb="FFFF0000"/>
      <name val="Arial"/>
      <family val="2"/>
    </font>
    <font>
      <sz val="10"/>
      <color rgb="FFFF000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10"/>
      <name val="Calibri"/>
      <family val="2"/>
    </font>
    <font>
      <sz val="11"/>
      <name val="Calibri"/>
      <family val="2"/>
    </font>
    <font>
      <b/>
      <sz val="13.5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78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5">
    <xf numFmtId="38" fontId="0" fillId="0" borderId="0"/>
    <xf numFmtId="165" fontId="3" fillId="0" borderId="0" applyFont="0" applyFill="0" applyBorder="0" applyAlignment="0" applyProtection="0"/>
    <xf numFmtId="0" fontId="3" fillId="0" borderId="0"/>
    <xf numFmtId="9" fontId="10" fillId="0" borderId="0" applyFont="0" applyFill="0" applyBorder="0" applyAlignment="0" applyProtection="0"/>
    <xf numFmtId="38" fontId="10" fillId="0" borderId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5" fontId="3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36" fillId="0" borderId="0"/>
    <xf numFmtId="192" fontId="3" fillId="0" borderId="0" applyFont="0" applyFill="0" applyBorder="0" applyAlignment="0" applyProtection="0"/>
    <xf numFmtId="0" fontId="3" fillId="0" borderId="0"/>
    <xf numFmtId="0" fontId="1" fillId="0" borderId="0"/>
    <xf numFmtId="9" fontId="1" fillId="0" borderId="0" applyFont="0" applyFill="0" applyBorder="0" applyAlignment="0" applyProtection="0"/>
  </cellStyleXfs>
  <cellXfs count="2060">
    <xf numFmtId="38" fontId="0" fillId="0" borderId="0" xfId="0"/>
    <xf numFmtId="38" fontId="5" fillId="0" borderId="0" xfId="0" applyFont="1" applyFill="1"/>
    <xf numFmtId="38" fontId="4" fillId="0" borderId="0" xfId="0" applyFont="1" applyFill="1"/>
    <xf numFmtId="38" fontId="0" fillId="0" borderId="0" xfId="0" applyFill="1" applyBorder="1"/>
    <xf numFmtId="38" fontId="5" fillId="0" borderId="0" xfId="0" applyFont="1" applyFill="1" applyProtection="1"/>
    <xf numFmtId="38" fontId="0" fillId="0" borderId="0" xfId="0" applyBorder="1"/>
    <xf numFmtId="38" fontId="0" fillId="0" borderId="0" xfId="0" applyFill="1"/>
    <xf numFmtId="38" fontId="5" fillId="0" borderId="0" xfId="0" applyFont="1" applyFill="1" applyAlignment="1">
      <alignment vertical="center"/>
    </xf>
    <xf numFmtId="38" fontId="19" fillId="0" borderId="0" xfId="0" applyFont="1" applyFill="1"/>
    <xf numFmtId="38" fontId="10" fillId="0" borderId="0" xfId="0" applyFont="1" applyFill="1"/>
    <xf numFmtId="0" fontId="3" fillId="0" borderId="0" xfId="2"/>
    <xf numFmtId="174" fontId="5" fillId="0" borderId="9" xfId="0" applyNumberFormat="1" applyFont="1" applyFill="1" applyBorder="1"/>
    <xf numFmtId="167" fontId="5" fillId="0" borderId="0" xfId="0" applyNumberFormat="1" applyFont="1" applyFill="1"/>
    <xf numFmtId="3" fontId="5" fillId="0" borderId="0" xfId="0" applyNumberFormat="1" applyFont="1" applyFill="1"/>
    <xf numFmtId="38" fontId="3" fillId="0" borderId="0" xfId="0" applyFont="1" applyFill="1" applyBorder="1"/>
    <xf numFmtId="38" fontId="3" fillId="0" borderId="0" xfId="0" applyFont="1"/>
    <xf numFmtId="38" fontId="3" fillId="0" borderId="0" xfId="0" applyFont="1" applyFill="1"/>
    <xf numFmtId="38" fontId="24" fillId="0" borderId="0" xfId="0" applyFont="1" applyFill="1" applyBorder="1"/>
    <xf numFmtId="0" fontId="32" fillId="0" borderId="0" xfId="2" applyFont="1"/>
    <xf numFmtId="38" fontId="31" fillId="0" borderId="0" xfId="0" applyFont="1" applyFill="1"/>
    <xf numFmtId="38" fontId="24" fillId="0" borderId="0" xfId="0" applyNumberFormat="1" applyFont="1" applyFill="1" applyBorder="1"/>
    <xf numFmtId="38" fontId="3" fillId="0" borderId="0" xfId="0" applyNumberFormat="1" applyFont="1" applyFill="1" applyBorder="1"/>
    <xf numFmtId="164" fontId="3" fillId="0" borderId="0" xfId="0" applyNumberFormat="1" applyFont="1" applyFill="1"/>
    <xf numFmtId="38" fontId="5" fillId="0" borderId="0" xfId="0" applyFont="1" applyFill="1" applyProtection="1">
      <protection hidden="1"/>
    </xf>
    <xf numFmtId="38" fontId="0" fillId="2" borderId="0" xfId="0" applyFill="1"/>
    <xf numFmtId="0" fontId="3" fillId="4" borderId="10" xfId="2" applyFont="1" applyFill="1" applyBorder="1"/>
    <xf numFmtId="3" fontId="3" fillId="4" borderId="30" xfId="2" applyNumberFormat="1" applyFont="1" applyFill="1" applyBorder="1" applyAlignment="1">
      <alignment horizontal="left"/>
    </xf>
    <xf numFmtId="0" fontId="3" fillId="4" borderId="10" xfId="2" applyFont="1" applyFill="1" applyBorder="1" applyAlignment="1">
      <alignment horizontal="center"/>
    </xf>
    <xf numFmtId="38" fontId="0" fillId="4" borderId="0" xfId="0" applyFill="1"/>
    <xf numFmtId="169" fontId="3" fillId="4" borderId="9" xfId="2" applyNumberFormat="1" applyFont="1" applyFill="1" applyBorder="1" applyAlignment="1">
      <alignment horizontal="center"/>
    </xf>
    <xf numFmtId="9" fontId="3" fillId="4" borderId="9" xfId="3" applyFont="1" applyFill="1" applyBorder="1" applyAlignment="1">
      <alignment horizontal="center"/>
    </xf>
    <xf numFmtId="169" fontId="24" fillId="4" borderId="9" xfId="2" applyNumberFormat="1" applyFont="1" applyFill="1" applyBorder="1" applyAlignment="1">
      <alignment horizontal="center" vertical="center" wrapText="1"/>
    </xf>
    <xf numFmtId="179" fontId="24" fillId="4" borderId="9" xfId="2" applyNumberFormat="1" applyFont="1" applyFill="1" applyBorder="1" applyAlignment="1">
      <alignment horizontal="center" vertical="center" wrapText="1"/>
    </xf>
    <xf numFmtId="38" fontId="3" fillId="4" borderId="9" xfId="0" applyFont="1" applyFill="1" applyBorder="1"/>
    <xf numFmtId="174" fontId="3" fillId="4" borderId="9" xfId="0" applyNumberFormat="1" applyFont="1" applyFill="1" applyBorder="1"/>
    <xf numFmtId="174" fontId="3" fillId="4" borderId="9" xfId="0" applyNumberFormat="1" applyFont="1" applyFill="1" applyBorder="1" applyAlignment="1">
      <alignment horizontal="right"/>
    </xf>
    <xf numFmtId="38" fontId="3" fillId="4" borderId="19" xfId="0" applyFont="1" applyFill="1" applyBorder="1"/>
    <xf numFmtId="174" fontId="3" fillId="4" borderId="0" xfId="0" applyNumberFormat="1" applyFont="1" applyFill="1" applyBorder="1"/>
    <xf numFmtId="174" fontId="3" fillId="4" borderId="20" xfId="0" applyNumberFormat="1" applyFont="1" applyFill="1" applyBorder="1"/>
    <xf numFmtId="38" fontId="3" fillId="4" borderId="0" xfId="0" applyFont="1" applyFill="1"/>
    <xf numFmtId="38" fontId="0" fillId="4" borderId="10" xfId="0" applyFill="1" applyBorder="1"/>
    <xf numFmtId="38" fontId="24" fillId="4" borderId="10" xfId="0" applyFont="1" applyFill="1" applyBorder="1" applyAlignment="1" applyProtection="1">
      <alignment vertical="center"/>
    </xf>
    <xf numFmtId="38" fontId="3" fillId="4" borderId="30" xfId="0" applyFont="1" applyFill="1" applyBorder="1"/>
    <xf numFmtId="38" fontId="24" fillId="4" borderId="10" xfId="0" applyFont="1" applyFill="1" applyBorder="1" applyProtection="1"/>
    <xf numFmtId="38" fontId="3" fillId="0" borderId="10" xfId="0" applyNumberFormat="1" applyFont="1" applyFill="1" applyBorder="1" applyAlignment="1" applyProtection="1">
      <alignment horizontal="center"/>
      <protection locked="0"/>
    </xf>
    <xf numFmtId="38" fontId="24" fillId="4" borderId="10" xfId="0" applyNumberFormat="1" applyFont="1" applyFill="1" applyBorder="1" applyProtection="1"/>
    <xf numFmtId="38" fontId="3" fillId="4" borderId="10" xfId="0" applyNumberFormat="1" applyFont="1" applyFill="1" applyBorder="1" applyAlignment="1" applyProtection="1">
      <alignment horizontal="center"/>
    </xf>
    <xf numFmtId="174" fontId="24" fillId="4" borderId="9" xfId="0" applyNumberFormat="1" applyFont="1" applyFill="1" applyBorder="1" applyAlignment="1">
      <alignment horizontal="right"/>
    </xf>
    <xf numFmtId="38" fontId="3" fillId="4" borderId="0" xfId="0" applyFont="1" applyFill="1" applyBorder="1" applyProtection="1"/>
    <xf numFmtId="9" fontId="3" fillId="0" borderId="4" xfId="3" applyFont="1" applyFill="1" applyBorder="1"/>
    <xf numFmtId="166" fontId="3" fillId="0" borderId="4" xfId="3" applyNumberFormat="1" applyFont="1" applyFill="1" applyBorder="1" applyAlignment="1">
      <alignment horizontal="right"/>
    </xf>
    <xf numFmtId="0" fontId="3" fillId="0" borderId="4" xfId="2" applyFont="1" applyFill="1" applyBorder="1"/>
    <xf numFmtId="0" fontId="3" fillId="0" borderId="2" xfId="2" applyFont="1" applyFill="1" applyBorder="1"/>
    <xf numFmtId="1" fontId="3" fillId="4" borderId="0" xfId="0" applyNumberFormat="1" applyFont="1" applyFill="1" applyAlignment="1" applyProtection="1">
      <alignment horizontal="center"/>
    </xf>
    <xf numFmtId="170" fontId="24" fillId="4" borderId="13" xfId="0" applyNumberFormat="1" applyFont="1" applyFill="1" applyBorder="1" applyAlignment="1" applyProtection="1">
      <alignment horizontal="center" vertical="center"/>
    </xf>
    <xf numFmtId="170" fontId="24" fillId="4" borderId="27" xfId="0" applyNumberFormat="1" applyFont="1" applyFill="1" applyBorder="1" applyAlignment="1" applyProtection="1">
      <alignment horizontal="center" vertical="center"/>
    </xf>
    <xf numFmtId="174" fontId="3" fillId="4" borderId="11" xfId="0" applyNumberFormat="1" applyFont="1" applyFill="1" applyBorder="1"/>
    <xf numFmtId="38" fontId="3" fillId="4" borderId="0" xfId="0" applyFont="1" applyFill="1" applyBorder="1"/>
    <xf numFmtId="38" fontId="3" fillId="4" borderId="20" xfId="0" applyFont="1" applyFill="1" applyBorder="1"/>
    <xf numFmtId="38" fontId="3" fillId="4" borderId="21" xfId="0" applyFont="1" applyFill="1" applyBorder="1"/>
    <xf numFmtId="189" fontId="0" fillId="4" borderId="9" xfId="0" applyNumberFormat="1" applyFill="1" applyBorder="1"/>
    <xf numFmtId="189" fontId="29" fillId="4" borderId="9" xfId="0" applyNumberFormat="1" applyFont="1" applyFill="1" applyBorder="1"/>
    <xf numFmtId="38" fontId="0" fillId="4" borderId="9" xfId="0" applyFill="1" applyBorder="1"/>
    <xf numFmtId="38" fontId="29" fillId="4" borderId="9" xfId="0" applyFont="1" applyFill="1" applyBorder="1"/>
    <xf numFmtId="174" fontId="3" fillId="4" borderId="23" xfId="0" applyNumberFormat="1" applyFont="1" applyFill="1" applyBorder="1"/>
    <xf numFmtId="174" fontId="9" fillId="4" borderId="4" xfId="0" applyNumberFormat="1" applyFont="1" applyFill="1" applyBorder="1" applyAlignment="1"/>
    <xf numFmtId="174" fontId="9" fillId="4" borderId="9" xfId="0" applyNumberFormat="1" applyFont="1" applyFill="1" applyBorder="1"/>
    <xf numFmtId="38" fontId="9" fillId="4" borderId="0" xfId="0" applyFont="1" applyFill="1" applyAlignment="1">
      <alignment horizontal="center"/>
    </xf>
    <xf numFmtId="1" fontId="9" fillId="4" borderId="9" xfId="0" applyNumberFormat="1" applyFont="1" applyFill="1" applyBorder="1" applyAlignment="1">
      <alignment horizontal="center"/>
    </xf>
    <xf numFmtId="38" fontId="10" fillId="4" borderId="0" xfId="0" applyFont="1" applyFill="1"/>
    <xf numFmtId="174" fontId="19" fillId="4" borderId="4" xfId="0" applyNumberFormat="1" applyFont="1" applyFill="1" applyBorder="1" applyAlignment="1"/>
    <xf numFmtId="174" fontId="19" fillId="4" borderId="9" xfId="0" applyNumberFormat="1" applyFont="1" applyFill="1" applyBorder="1"/>
    <xf numFmtId="166" fontId="19" fillId="4" borderId="9" xfId="0" applyNumberFormat="1" applyFont="1" applyFill="1" applyBorder="1"/>
    <xf numFmtId="38" fontId="19" fillId="4" borderId="0" xfId="0" applyFont="1" applyFill="1"/>
    <xf numFmtId="181" fontId="15" fillId="4" borderId="51" xfId="0" applyNumberFormat="1" applyFont="1" applyFill="1" applyBorder="1" applyAlignment="1">
      <alignment horizontal="center" vertical="center" wrapText="1"/>
    </xf>
    <xf numFmtId="38" fontId="19" fillId="4" borderId="64" xfId="0" applyFont="1" applyFill="1" applyBorder="1" applyAlignment="1">
      <alignment vertical="center"/>
    </xf>
    <xf numFmtId="38" fontId="19" fillId="4" borderId="0" xfId="0" applyFont="1" applyFill="1" applyBorder="1" applyAlignment="1">
      <alignment vertical="center"/>
    </xf>
    <xf numFmtId="38" fontId="19" fillId="4" borderId="20" xfId="0" applyFont="1" applyFill="1" applyBorder="1" applyAlignment="1">
      <alignment vertical="center"/>
    </xf>
    <xf numFmtId="38" fontId="9" fillId="4" borderId="29" xfId="0" applyFont="1" applyFill="1" applyBorder="1" applyAlignment="1">
      <alignment horizontal="center" vertical="center"/>
    </xf>
    <xf numFmtId="167" fontId="9" fillId="4" borderId="29" xfId="0" applyNumberFormat="1" applyFont="1" applyFill="1" applyBorder="1" applyAlignment="1">
      <alignment horizontal="center" vertical="center" wrapText="1"/>
    </xf>
    <xf numFmtId="167" fontId="9" fillId="4" borderId="28" xfId="0" applyNumberFormat="1" applyFont="1" applyFill="1" applyBorder="1" applyAlignment="1">
      <alignment horizontal="center" vertical="center" wrapText="1"/>
    </xf>
    <xf numFmtId="170" fontId="9" fillId="4" borderId="13" xfId="0" applyNumberFormat="1" applyFont="1" applyFill="1" applyBorder="1" applyAlignment="1">
      <alignment horizontal="center" vertical="center"/>
    </xf>
    <xf numFmtId="170" fontId="9" fillId="4" borderId="13" xfId="0" applyNumberFormat="1" applyFont="1" applyFill="1" applyBorder="1" applyAlignment="1" applyProtection="1">
      <alignment horizontal="center" vertical="center"/>
    </xf>
    <xf numFmtId="170" fontId="9" fillId="4" borderId="27" xfId="0" applyNumberFormat="1" applyFont="1" applyFill="1" applyBorder="1" applyAlignment="1" applyProtection="1">
      <alignment horizontal="center" vertical="center"/>
    </xf>
    <xf numFmtId="38" fontId="4" fillId="4" borderId="18" xfId="0" applyFont="1" applyFill="1" applyBorder="1"/>
    <xf numFmtId="167" fontId="4" fillId="4" borderId="18" xfId="0" applyNumberFormat="1" applyFont="1" applyFill="1" applyBorder="1" applyAlignment="1">
      <alignment horizontal="center" wrapText="1"/>
    </xf>
    <xf numFmtId="38" fontId="4" fillId="4" borderId="18" xfId="0" applyFont="1" applyFill="1" applyBorder="1" applyAlignment="1">
      <alignment horizontal="center" wrapText="1"/>
    </xf>
    <xf numFmtId="38" fontId="4" fillId="4" borderId="18" xfId="0" applyFont="1" applyFill="1" applyBorder="1" applyAlignment="1">
      <alignment horizontal="center"/>
    </xf>
    <xf numFmtId="38" fontId="5" fillId="4" borderId="18" xfId="0" applyFont="1" applyFill="1" applyBorder="1"/>
    <xf numFmtId="38" fontId="5" fillId="4" borderId="0" xfId="0" applyFont="1" applyFill="1"/>
    <xf numFmtId="170" fontId="9" fillId="4" borderId="13" xfId="0" applyNumberFormat="1" applyFont="1" applyFill="1" applyBorder="1" applyAlignment="1">
      <alignment horizontal="center"/>
    </xf>
    <xf numFmtId="170" fontId="9" fillId="4" borderId="13" xfId="0" applyNumberFormat="1" applyFont="1" applyFill="1" applyBorder="1" applyAlignment="1" applyProtection="1">
      <alignment horizontal="center"/>
    </xf>
    <xf numFmtId="170" fontId="9" fillId="4" borderId="27" xfId="0" applyNumberFormat="1" applyFont="1" applyFill="1" applyBorder="1" applyAlignment="1" applyProtection="1">
      <alignment horizontal="center"/>
    </xf>
    <xf numFmtId="170" fontId="9" fillId="4" borderId="8" xfId="0" applyNumberFormat="1" applyFont="1" applyFill="1" applyBorder="1" applyAlignment="1">
      <alignment horizontal="center"/>
    </xf>
    <xf numFmtId="174" fontId="5" fillId="4" borderId="49" xfId="0" applyNumberFormat="1" applyFont="1" applyFill="1" applyBorder="1"/>
    <xf numFmtId="174" fontId="5" fillId="4" borderId="4" xfId="0" applyNumberFormat="1" applyFont="1" applyFill="1" applyBorder="1" applyProtection="1"/>
    <xf numFmtId="166" fontId="5" fillId="4" borderId="9" xfId="0" applyNumberFormat="1" applyFont="1" applyFill="1" applyBorder="1"/>
    <xf numFmtId="174" fontId="5" fillId="4" borderId="9" xfId="0" applyNumberFormat="1" applyFont="1" applyFill="1" applyBorder="1"/>
    <xf numFmtId="174" fontId="5" fillId="4" borderId="11" xfId="0" applyNumberFormat="1" applyFont="1" applyFill="1" applyBorder="1"/>
    <xf numFmtId="174" fontId="5" fillId="4" borderId="51" xfId="0" applyNumberFormat="1" applyFont="1" applyFill="1" applyBorder="1"/>
    <xf numFmtId="174" fontId="5" fillId="4" borderId="31" xfId="0" applyNumberFormat="1" applyFont="1" applyFill="1" applyBorder="1" applyProtection="1"/>
    <xf numFmtId="166" fontId="5" fillId="4" borderId="13" xfId="0" applyNumberFormat="1" applyFont="1" applyFill="1" applyBorder="1"/>
    <xf numFmtId="174" fontId="5" fillId="4" borderId="13" xfId="0" applyNumberFormat="1" applyFont="1" applyFill="1" applyBorder="1"/>
    <xf numFmtId="174" fontId="5" fillId="4" borderId="27" xfId="0" applyNumberFormat="1" applyFont="1" applyFill="1" applyBorder="1"/>
    <xf numFmtId="174" fontId="4" fillId="4" borderId="18" xfId="0" applyNumberFormat="1" applyFont="1" applyFill="1" applyBorder="1" applyAlignment="1"/>
    <xf numFmtId="174" fontId="4" fillId="4" borderId="18" xfId="0" applyNumberFormat="1" applyFont="1" applyFill="1" applyBorder="1"/>
    <xf numFmtId="174" fontId="4" fillId="4" borderId="18" xfId="0" applyNumberFormat="1" applyFont="1" applyFill="1" applyBorder="1" applyAlignment="1">
      <alignment horizontal="center"/>
    </xf>
    <xf numFmtId="38" fontId="4" fillId="4" borderId="0" xfId="0" applyFont="1" applyFill="1"/>
    <xf numFmtId="174" fontId="5" fillId="4" borderId="52" xfId="0" applyNumberFormat="1" applyFont="1" applyFill="1" applyBorder="1"/>
    <xf numFmtId="174" fontId="5" fillId="4" borderId="2" xfId="0" applyNumberFormat="1" applyFont="1" applyFill="1" applyBorder="1"/>
    <xf numFmtId="166" fontId="5" fillId="4" borderId="14" xfId="0" applyNumberFormat="1" applyFont="1" applyFill="1" applyBorder="1"/>
    <xf numFmtId="174" fontId="4" fillId="4" borderId="14" xfId="0" applyNumberFormat="1" applyFont="1" applyFill="1" applyBorder="1"/>
    <xf numFmtId="174" fontId="5" fillId="4" borderId="14" xfId="0" applyNumberFormat="1" applyFont="1" applyFill="1" applyBorder="1"/>
    <xf numFmtId="174" fontId="5" fillId="4" borderId="15" xfId="0" applyNumberFormat="1" applyFont="1" applyFill="1" applyBorder="1"/>
    <xf numFmtId="174" fontId="5" fillId="4" borderId="4" xfId="0" applyNumberFormat="1" applyFont="1" applyFill="1" applyBorder="1"/>
    <xf numFmtId="174" fontId="4" fillId="4" borderId="9" xfId="0" applyNumberFormat="1" applyFont="1" applyFill="1" applyBorder="1"/>
    <xf numFmtId="174" fontId="5" fillId="4" borderId="31" xfId="0" applyNumberFormat="1" applyFont="1" applyFill="1" applyBorder="1"/>
    <xf numFmtId="174" fontId="4" fillId="4" borderId="13" xfId="0" applyNumberFormat="1" applyFont="1" applyFill="1" applyBorder="1"/>
    <xf numFmtId="174" fontId="5" fillId="4" borderId="18" xfId="0" applyNumberFormat="1" applyFont="1" applyFill="1" applyBorder="1"/>
    <xf numFmtId="174" fontId="5" fillId="4" borderId="18" xfId="0" applyNumberFormat="1" applyFont="1" applyFill="1" applyBorder="1" applyAlignment="1">
      <alignment horizontal="center"/>
    </xf>
    <xf numFmtId="174" fontId="5" fillId="4" borderId="0" xfId="0" applyNumberFormat="1" applyFont="1" applyFill="1" applyBorder="1" applyAlignment="1">
      <alignment horizontal="center"/>
    </xf>
    <xf numFmtId="174" fontId="5" fillId="4" borderId="0" xfId="0" applyNumberFormat="1" applyFont="1" applyFill="1" applyBorder="1"/>
    <xf numFmtId="174" fontId="5" fillId="4" borderId="2" xfId="0" applyNumberFormat="1" applyFont="1" applyFill="1" applyBorder="1" applyProtection="1"/>
    <xf numFmtId="174" fontId="5" fillId="4" borderId="64" xfId="0" applyNumberFormat="1" applyFont="1" applyFill="1" applyBorder="1"/>
    <xf numFmtId="174" fontId="5" fillId="4" borderId="57" xfId="0" applyNumberFormat="1" applyFont="1" applyFill="1" applyBorder="1" applyProtection="1"/>
    <xf numFmtId="166" fontId="5" fillId="4" borderId="36" xfId="0" applyNumberFormat="1" applyFont="1" applyFill="1" applyBorder="1"/>
    <xf numFmtId="174" fontId="5" fillId="4" borderId="36" xfId="0" applyNumberFormat="1" applyFont="1" applyFill="1" applyBorder="1"/>
    <xf numFmtId="174" fontId="5" fillId="4" borderId="32" xfId="0" applyNumberFormat="1" applyFont="1" applyFill="1" applyBorder="1"/>
    <xf numFmtId="174" fontId="5" fillId="4" borderId="20" xfId="0" applyNumberFormat="1" applyFont="1" applyFill="1" applyBorder="1"/>
    <xf numFmtId="174" fontId="5" fillId="4" borderId="40" xfId="0" applyNumberFormat="1" applyFont="1" applyFill="1" applyBorder="1"/>
    <xf numFmtId="166" fontId="5" fillId="4" borderId="29" xfId="0" applyNumberFormat="1" applyFont="1" applyFill="1" applyBorder="1"/>
    <xf numFmtId="174" fontId="5" fillId="4" borderId="29" xfId="0" applyNumberFormat="1" applyFont="1" applyFill="1" applyBorder="1"/>
    <xf numFmtId="174" fontId="5" fillId="4" borderId="28" xfId="0" applyNumberFormat="1" applyFont="1" applyFill="1" applyBorder="1"/>
    <xf numFmtId="38" fontId="5" fillId="4" borderId="23" xfId="0" applyFont="1" applyFill="1" applyBorder="1"/>
    <xf numFmtId="167" fontId="5" fillId="4" borderId="23" xfId="0" applyNumberFormat="1" applyFont="1" applyFill="1" applyBorder="1"/>
    <xf numFmtId="38" fontId="5" fillId="4" borderId="40" xfId="0" applyNumberFormat="1" applyFont="1" applyFill="1" applyBorder="1"/>
    <xf numFmtId="38" fontId="5" fillId="4" borderId="29" xfId="0" applyNumberFormat="1" applyFont="1" applyFill="1" applyBorder="1"/>
    <xf numFmtId="38" fontId="5" fillId="4" borderId="28" xfId="0" applyNumberFormat="1" applyFont="1" applyFill="1" applyBorder="1"/>
    <xf numFmtId="38" fontId="5" fillId="4" borderId="31" xfId="0" applyNumberFormat="1" applyFont="1" applyFill="1" applyBorder="1"/>
    <xf numFmtId="38" fontId="5" fillId="4" borderId="13" xfId="0" applyNumberFormat="1" applyFont="1" applyFill="1" applyBorder="1"/>
    <xf numFmtId="38" fontId="5" fillId="4" borderId="27" xfId="0" applyNumberFormat="1" applyFont="1" applyFill="1" applyBorder="1"/>
    <xf numFmtId="174" fontId="5" fillId="4" borderId="40" xfId="0" applyNumberFormat="1" applyFont="1" applyFill="1" applyBorder="1" applyAlignment="1">
      <alignment horizontal="right"/>
    </xf>
    <xf numFmtId="174" fontId="5" fillId="4" borderId="29" xfId="0" applyNumberFormat="1" applyFont="1" applyFill="1" applyBorder="1" applyAlignment="1">
      <alignment horizontal="right"/>
    </xf>
    <xf numFmtId="174" fontId="5" fillId="4" borderId="28" xfId="0" applyNumberFormat="1" applyFont="1" applyFill="1" applyBorder="1" applyAlignment="1">
      <alignment horizontal="right"/>
    </xf>
    <xf numFmtId="174" fontId="5" fillId="4" borderId="4" xfId="0" applyNumberFormat="1" applyFont="1" applyFill="1" applyBorder="1" applyAlignment="1">
      <alignment horizontal="right"/>
    </xf>
    <xf numFmtId="174" fontId="5" fillId="4" borderId="9" xfId="0" applyNumberFormat="1" applyFont="1" applyFill="1" applyBorder="1" applyAlignment="1">
      <alignment horizontal="right"/>
    </xf>
    <xf numFmtId="174" fontId="5" fillId="4" borderId="11" xfId="0" applyNumberFormat="1" applyFont="1" applyFill="1" applyBorder="1" applyAlignment="1">
      <alignment horizontal="right"/>
    </xf>
    <xf numFmtId="38" fontId="5" fillId="4" borderId="0" xfId="0" applyFont="1" applyFill="1" applyBorder="1"/>
    <xf numFmtId="38" fontId="5" fillId="4" borderId="0" xfId="0" applyFont="1" applyFill="1" applyAlignment="1">
      <alignment horizontal="center"/>
    </xf>
    <xf numFmtId="174" fontId="5" fillId="4" borderId="3" xfId="0" applyNumberFormat="1" applyFont="1" applyFill="1" applyBorder="1"/>
    <xf numFmtId="174" fontId="5" fillId="4" borderId="9" xfId="0" applyNumberFormat="1" applyFont="1" applyFill="1" applyBorder="1" applyProtection="1"/>
    <xf numFmtId="38" fontId="0" fillId="4" borderId="19" xfId="0" applyFill="1" applyBorder="1"/>
    <xf numFmtId="38" fontId="0" fillId="4" borderId="0" xfId="0" applyFill="1" applyBorder="1"/>
    <xf numFmtId="38" fontId="0" fillId="4" borderId="20" xfId="0" applyFill="1" applyBorder="1"/>
    <xf numFmtId="174" fontId="5" fillId="4" borderId="8" xfId="0" applyNumberFormat="1" applyFont="1" applyFill="1" applyBorder="1"/>
    <xf numFmtId="38" fontId="0" fillId="4" borderId="18" xfId="0" applyFill="1" applyBorder="1"/>
    <xf numFmtId="174" fontId="0" fillId="4" borderId="18" xfId="0" applyNumberFormat="1" applyFill="1" applyBorder="1"/>
    <xf numFmtId="174" fontId="0" fillId="4" borderId="0" xfId="0" applyNumberFormat="1" applyFill="1" applyBorder="1"/>
    <xf numFmtId="174" fontId="5" fillId="4" borderId="46" xfId="0" applyNumberFormat="1" applyFont="1" applyFill="1" applyBorder="1"/>
    <xf numFmtId="174" fontId="0" fillId="4" borderId="46" xfId="0" applyNumberFormat="1" applyFill="1" applyBorder="1"/>
    <xf numFmtId="174" fontId="0" fillId="4" borderId="8" xfId="0" applyNumberFormat="1" applyFill="1" applyBorder="1"/>
    <xf numFmtId="174" fontId="0" fillId="4" borderId="13" xfId="0" applyNumberFormat="1" applyFill="1" applyBorder="1"/>
    <xf numFmtId="174" fontId="0" fillId="4" borderId="27" xfId="0" applyNumberFormat="1" applyFill="1" applyBorder="1"/>
    <xf numFmtId="174" fontId="0" fillId="4" borderId="25" xfId="0" applyNumberFormat="1" applyFill="1" applyBorder="1"/>
    <xf numFmtId="174" fontId="4" fillId="4" borderId="38" xfId="0" applyNumberFormat="1" applyFont="1" applyFill="1" applyBorder="1" applyAlignment="1">
      <alignment horizontal="left"/>
    </xf>
    <xf numFmtId="174" fontId="4" fillId="4" borderId="39" xfId="0" applyNumberFormat="1" applyFont="1" applyFill="1" applyBorder="1" applyAlignment="1">
      <alignment horizontal="left"/>
    </xf>
    <xf numFmtId="174" fontId="4" fillId="4" borderId="40" xfId="0" applyNumberFormat="1" applyFont="1" applyFill="1" applyBorder="1" applyAlignment="1">
      <alignment horizontal="left"/>
    </xf>
    <xf numFmtId="174" fontId="4" fillId="4" borderId="29" xfId="0" applyNumberFormat="1" applyFont="1" applyFill="1" applyBorder="1" applyAlignment="1">
      <alignment horizontal="right"/>
    </xf>
    <xf numFmtId="174" fontId="4" fillId="4" borderId="28" xfId="0" applyNumberFormat="1" applyFont="1" applyFill="1" applyBorder="1" applyAlignment="1">
      <alignment horizontal="right"/>
    </xf>
    <xf numFmtId="174" fontId="4" fillId="4" borderId="43" xfId="0" applyNumberFormat="1" applyFont="1" applyFill="1" applyBorder="1" applyAlignment="1">
      <alignment horizontal="left"/>
    </xf>
    <xf numFmtId="174" fontId="4" fillId="4" borderId="10" xfId="0" applyNumberFormat="1" applyFont="1" applyFill="1" applyBorder="1" applyAlignment="1">
      <alignment horizontal="left"/>
    </xf>
    <xf numFmtId="174" fontId="4" fillId="4" borderId="4" xfId="0" applyNumberFormat="1" applyFont="1" applyFill="1" applyBorder="1" applyAlignment="1">
      <alignment horizontal="left"/>
    </xf>
    <xf numFmtId="174" fontId="4" fillId="4" borderId="9" xfId="0" applyNumberFormat="1" applyFont="1" applyFill="1" applyBorder="1" applyAlignment="1">
      <alignment horizontal="right"/>
    </xf>
    <xf numFmtId="174" fontId="4" fillId="4" borderId="11" xfId="0" applyNumberFormat="1" applyFont="1" applyFill="1" applyBorder="1" applyAlignment="1">
      <alignment horizontal="right"/>
    </xf>
    <xf numFmtId="174" fontId="4" fillId="4" borderId="9" xfId="0" applyNumberFormat="1" applyFont="1" applyFill="1" applyBorder="1" applyAlignment="1">
      <alignment horizontal="left"/>
    </xf>
    <xf numFmtId="1" fontId="4" fillId="4" borderId="9" xfId="0" applyNumberFormat="1" applyFont="1" applyFill="1" applyBorder="1" applyAlignment="1">
      <alignment horizontal="center"/>
    </xf>
    <xf numFmtId="174" fontId="4" fillId="4" borderId="41" xfId="0" applyNumberFormat="1" applyFont="1" applyFill="1" applyBorder="1" applyAlignment="1">
      <alignment horizontal="left"/>
    </xf>
    <xf numFmtId="174" fontId="4" fillId="4" borderId="42" xfId="0" applyNumberFormat="1" applyFont="1" applyFill="1" applyBorder="1" applyAlignment="1">
      <alignment horizontal="left"/>
    </xf>
    <xf numFmtId="174" fontId="4" fillId="4" borderId="31" xfId="0" applyNumberFormat="1" applyFont="1" applyFill="1" applyBorder="1" applyAlignment="1">
      <alignment horizontal="left"/>
    </xf>
    <xf numFmtId="174" fontId="4" fillId="4" borderId="27" xfId="0" applyNumberFormat="1" applyFont="1" applyFill="1" applyBorder="1"/>
    <xf numFmtId="38" fontId="4" fillId="4" borderId="19" xfId="0" applyFont="1" applyFill="1" applyBorder="1"/>
    <xf numFmtId="38" fontId="4" fillId="4" borderId="0" xfId="0" applyFont="1" applyFill="1" applyBorder="1"/>
    <xf numFmtId="38" fontId="4" fillId="4" borderId="20" xfId="0" applyFont="1" applyFill="1" applyBorder="1"/>
    <xf numFmtId="38" fontId="5" fillId="4" borderId="9" xfId="0" applyFont="1" applyFill="1" applyBorder="1"/>
    <xf numFmtId="38" fontId="5" fillId="4" borderId="19" xfId="0" applyFont="1" applyFill="1" applyBorder="1"/>
    <xf numFmtId="38" fontId="5" fillId="4" borderId="25" xfId="0" applyFont="1" applyFill="1" applyBorder="1"/>
    <xf numFmtId="167" fontId="5" fillId="4" borderId="25" xfId="0" applyNumberFormat="1" applyFont="1" applyFill="1" applyBorder="1"/>
    <xf numFmtId="174" fontId="5" fillId="4" borderId="39" xfId="0" applyNumberFormat="1" applyFont="1" applyFill="1" applyBorder="1" applyAlignment="1">
      <alignment horizontal="left"/>
    </xf>
    <xf numFmtId="174" fontId="5" fillId="4" borderId="40" xfId="0" applyNumberFormat="1" applyFont="1" applyFill="1" applyBorder="1" applyAlignment="1">
      <alignment horizontal="left"/>
    </xf>
    <xf numFmtId="174" fontId="5" fillId="4" borderId="10" xfId="0" applyNumberFormat="1" applyFont="1" applyFill="1" applyBorder="1" applyAlignment="1">
      <alignment horizontal="left"/>
    </xf>
    <xf numFmtId="174" fontId="5" fillId="4" borderId="4" xfId="0" applyNumberFormat="1" applyFont="1" applyFill="1" applyBorder="1" applyAlignment="1">
      <alignment horizontal="left"/>
    </xf>
    <xf numFmtId="174" fontId="4" fillId="4" borderId="13" xfId="0" applyNumberFormat="1" applyFont="1" applyFill="1" applyBorder="1" applyAlignment="1">
      <alignment horizontal="right"/>
    </xf>
    <xf numFmtId="174" fontId="4" fillId="4" borderId="27" xfId="0" applyNumberFormat="1" applyFont="1" applyFill="1" applyBorder="1" applyAlignment="1">
      <alignment horizontal="right"/>
    </xf>
    <xf numFmtId="167" fontId="5" fillId="4" borderId="0" xfId="0" applyNumberFormat="1" applyFont="1" applyFill="1"/>
    <xf numFmtId="38" fontId="18" fillId="4" borderId="19" xfId="0" applyFont="1" applyFill="1" applyBorder="1" applyAlignment="1" applyProtection="1">
      <alignment horizontal="center" vertical="center"/>
    </xf>
    <xf numFmtId="38" fontId="18" fillId="4" borderId="0" xfId="0" applyFont="1" applyFill="1" applyBorder="1" applyAlignment="1" applyProtection="1">
      <alignment horizontal="center" vertical="center"/>
    </xf>
    <xf numFmtId="38" fontId="18" fillId="4" borderId="20" xfId="0" applyFont="1" applyFill="1" applyBorder="1" applyAlignment="1" applyProtection="1">
      <alignment horizontal="center" vertical="center"/>
    </xf>
    <xf numFmtId="38" fontId="10" fillId="4" borderId="19" xfId="0" applyNumberFormat="1" applyFont="1" applyFill="1" applyBorder="1" applyAlignment="1">
      <alignment vertical="center"/>
    </xf>
    <xf numFmtId="38" fontId="10" fillId="4" borderId="0" xfId="0" applyNumberFormat="1" applyFont="1" applyFill="1" applyBorder="1" applyAlignment="1">
      <alignment vertical="center"/>
    </xf>
    <xf numFmtId="38" fontId="10" fillId="4" borderId="20" xfId="0" applyFont="1" applyFill="1" applyBorder="1" applyAlignment="1">
      <alignment vertical="center"/>
    </xf>
    <xf numFmtId="38" fontId="10" fillId="4" borderId="19" xfId="0" applyFont="1" applyFill="1" applyBorder="1" applyAlignment="1">
      <alignment vertical="center"/>
    </xf>
    <xf numFmtId="38" fontId="19" fillId="4" borderId="20" xfId="0" applyFont="1" applyFill="1" applyBorder="1" applyAlignment="1" applyProtection="1">
      <alignment vertical="center"/>
    </xf>
    <xf numFmtId="38" fontId="19" fillId="4" borderId="19" xfId="0" applyFont="1" applyFill="1" applyBorder="1" applyAlignment="1" applyProtection="1">
      <alignment vertical="center"/>
    </xf>
    <xf numFmtId="38" fontId="19" fillId="4" borderId="0" xfId="0" applyFont="1" applyFill="1" applyBorder="1" applyAlignment="1" applyProtection="1">
      <alignment vertical="center"/>
    </xf>
    <xf numFmtId="170" fontId="9" fillId="4" borderId="12" xfId="0" applyNumberFormat="1" applyFont="1" applyFill="1" applyBorder="1" applyAlignment="1" applyProtection="1">
      <alignment horizontal="center" vertical="center"/>
    </xf>
    <xf numFmtId="170" fontId="9" fillId="4" borderId="29" xfId="0" applyNumberFormat="1" applyFont="1" applyFill="1" applyBorder="1" applyAlignment="1" applyProtection="1">
      <alignment horizontal="center" vertical="center"/>
    </xf>
    <xf numFmtId="170" fontId="9" fillId="4" borderId="28" xfId="0" applyNumberFormat="1" applyFont="1" applyFill="1" applyBorder="1" applyAlignment="1" applyProtection="1">
      <alignment horizontal="center" vertical="center"/>
    </xf>
    <xf numFmtId="38" fontId="9" fillId="4" borderId="66" xfId="0" applyFont="1" applyFill="1" applyBorder="1" applyAlignment="1" applyProtection="1">
      <alignment horizontal="center"/>
    </xf>
    <xf numFmtId="38" fontId="9" fillId="4" borderId="56" xfId="0" applyFont="1" applyFill="1" applyBorder="1" applyAlignment="1" applyProtection="1">
      <alignment horizontal="center"/>
    </xf>
    <xf numFmtId="38" fontId="9" fillId="4" borderId="55" xfId="0" applyFont="1" applyFill="1" applyBorder="1" applyAlignment="1" applyProtection="1">
      <alignment horizontal="center"/>
    </xf>
    <xf numFmtId="170" fontId="9" fillId="4" borderId="53" xfId="0" applyNumberFormat="1" applyFont="1" applyFill="1" applyBorder="1" applyAlignment="1" applyProtection="1">
      <alignment horizontal="center" vertical="center"/>
    </xf>
    <xf numFmtId="170" fontId="9" fillId="4" borderId="56" xfId="0" applyNumberFormat="1" applyFont="1" applyFill="1" applyBorder="1" applyAlignment="1" applyProtection="1">
      <alignment horizontal="center" vertical="center"/>
    </xf>
    <xf numFmtId="170" fontId="9" fillId="4" borderId="55" xfId="0" applyNumberFormat="1" applyFont="1" applyFill="1" applyBorder="1" applyAlignment="1" applyProtection="1">
      <alignment horizontal="center" vertical="center"/>
    </xf>
    <xf numFmtId="183" fontId="5" fillId="4" borderId="12" xfId="1" applyNumberFormat="1" applyFont="1" applyFill="1" applyBorder="1" applyProtection="1">
      <protection locked="0"/>
    </xf>
    <xf numFmtId="183" fontId="5" fillId="4" borderId="29" xfId="1" applyNumberFormat="1" applyFont="1" applyFill="1" applyBorder="1" applyProtection="1">
      <protection locked="0"/>
    </xf>
    <xf numFmtId="183" fontId="4" fillId="4" borderId="28" xfId="1" applyNumberFormat="1" applyFont="1" applyFill="1" applyBorder="1" applyProtection="1"/>
    <xf numFmtId="183" fontId="5" fillId="4" borderId="12" xfId="1" applyNumberFormat="1" applyFont="1" applyFill="1" applyBorder="1" applyAlignment="1" applyProtection="1">
      <alignment horizontal="right"/>
    </xf>
    <xf numFmtId="183" fontId="5" fillId="4" borderId="29" xfId="1" applyNumberFormat="1" applyFont="1" applyFill="1" applyBorder="1" applyAlignment="1" applyProtection="1">
      <alignment horizontal="right"/>
    </xf>
    <xf numFmtId="183" fontId="5" fillId="4" borderId="29" xfId="1" applyNumberFormat="1" applyFont="1" applyFill="1" applyBorder="1" applyAlignment="1">
      <alignment horizontal="right"/>
    </xf>
    <xf numFmtId="183" fontId="5" fillId="4" borderId="3" xfId="1" applyNumberFormat="1" applyFont="1" applyFill="1" applyBorder="1" applyProtection="1">
      <protection locked="0"/>
    </xf>
    <xf numFmtId="183" fontId="5" fillId="4" borderId="9" xfId="1" applyNumberFormat="1" applyFont="1" applyFill="1" applyBorder="1" applyProtection="1">
      <protection locked="0"/>
    </xf>
    <xf numFmtId="183" fontId="4" fillId="4" borderId="11" xfId="1" applyNumberFormat="1" applyFont="1" applyFill="1" applyBorder="1" applyProtection="1"/>
    <xf numFmtId="183" fontId="5" fillId="4" borderId="3" xfId="1" applyNumberFormat="1" applyFont="1" applyFill="1" applyBorder="1" applyAlignment="1" applyProtection="1">
      <alignment horizontal="right"/>
    </xf>
    <xf numFmtId="183" fontId="5" fillId="4" borderId="9" xfId="1" applyNumberFormat="1" applyFont="1" applyFill="1" applyBorder="1" applyAlignment="1" applyProtection="1">
      <alignment horizontal="right"/>
    </xf>
    <xf numFmtId="183" fontId="5" fillId="4" borderId="9" xfId="1" applyNumberFormat="1" applyFont="1" applyFill="1" applyBorder="1" applyAlignment="1">
      <alignment horizontal="right"/>
    </xf>
    <xf numFmtId="183" fontId="5" fillId="4" borderId="11" xfId="1" applyNumberFormat="1" applyFont="1" applyFill="1" applyBorder="1" applyAlignment="1" applyProtection="1">
      <alignment horizontal="right"/>
    </xf>
    <xf numFmtId="183" fontId="5" fillId="4" borderId="9" xfId="1" applyNumberFormat="1" applyFont="1" applyFill="1" applyBorder="1" applyProtection="1"/>
    <xf numFmtId="183" fontId="5" fillId="4" borderId="8" xfId="1" applyNumberFormat="1" applyFont="1" applyFill="1" applyBorder="1" applyProtection="1">
      <protection locked="0"/>
    </xf>
    <xf numFmtId="183" fontId="4" fillId="4" borderId="27" xfId="1" applyNumberFormat="1" applyFont="1" applyFill="1" applyBorder="1" applyProtection="1"/>
    <xf numFmtId="171" fontId="4" fillId="4" borderId="38" xfId="0" applyNumberFormat="1" applyFont="1" applyFill="1" applyBorder="1" applyProtection="1"/>
    <xf numFmtId="171" fontId="4" fillId="4" borderId="39" xfId="0" applyNumberFormat="1" applyFont="1" applyFill="1" applyBorder="1" applyProtection="1"/>
    <xf numFmtId="183" fontId="4" fillId="4" borderId="39" xfId="1" applyNumberFormat="1" applyFont="1" applyFill="1" applyBorder="1" applyProtection="1"/>
    <xf numFmtId="183" fontId="5" fillId="4" borderId="48" xfId="1" applyNumberFormat="1" applyFont="1" applyFill="1" applyBorder="1" applyProtection="1"/>
    <xf numFmtId="171" fontId="4" fillId="4" borderId="43" xfId="0" applyNumberFormat="1" applyFont="1" applyFill="1" applyBorder="1" applyProtection="1"/>
    <xf numFmtId="171" fontId="4" fillId="4" borderId="10" xfId="0" applyNumberFormat="1" applyFont="1" applyFill="1" applyBorder="1" applyProtection="1"/>
    <xf numFmtId="183" fontId="4" fillId="4" borderId="10" xfId="1" applyNumberFormat="1" applyFont="1" applyFill="1" applyBorder="1" applyProtection="1"/>
    <xf numFmtId="183" fontId="5" fillId="4" borderId="44" xfId="1" applyNumberFormat="1" applyFont="1" applyFill="1" applyBorder="1" applyProtection="1"/>
    <xf numFmtId="183" fontId="5" fillId="4" borderId="3" xfId="1" applyNumberFormat="1" applyFont="1" applyFill="1" applyBorder="1" applyProtection="1"/>
    <xf numFmtId="183" fontId="4" fillId="4" borderId="44" xfId="1" applyNumberFormat="1" applyFont="1" applyFill="1" applyBorder="1" applyAlignment="1" applyProtection="1"/>
    <xf numFmtId="183" fontId="5" fillId="4" borderId="11" xfId="1" applyNumberFormat="1" applyFont="1" applyFill="1" applyBorder="1" applyProtection="1"/>
    <xf numFmtId="38" fontId="4" fillId="4" borderId="41" xfId="0" applyFont="1" applyFill="1" applyBorder="1" applyProtection="1"/>
    <xf numFmtId="38" fontId="4" fillId="4" borderId="42" xfId="0" applyFont="1" applyFill="1" applyBorder="1" applyProtection="1"/>
    <xf numFmtId="183" fontId="4" fillId="4" borderId="42" xfId="1" applyNumberFormat="1" applyFont="1" applyFill="1" applyBorder="1" applyProtection="1"/>
    <xf numFmtId="183" fontId="5" fillId="4" borderId="50" xfId="1" applyNumberFormat="1" applyFont="1" applyFill="1" applyBorder="1" applyProtection="1"/>
    <xf numFmtId="183" fontId="4" fillId="4" borderId="8" xfId="1" applyNumberFormat="1" applyFont="1" applyFill="1" applyBorder="1" applyProtection="1"/>
    <xf numFmtId="183" fontId="4" fillId="4" borderId="13" xfId="1" applyNumberFormat="1" applyFont="1" applyFill="1" applyBorder="1" applyProtection="1"/>
    <xf numFmtId="183" fontId="4" fillId="4" borderId="50" xfId="1" applyNumberFormat="1" applyFont="1" applyFill="1" applyBorder="1" applyProtection="1"/>
    <xf numFmtId="38" fontId="5" fillId="4" borderId="0" xfId="0" applyFont="1" applyFill="1" applyProtection="1"/>
    <xf numFmtId="38" fontId="13" fillId="4" borderId="24" xfId="0" applyFont="1" applyFill="1" applyBorder="1" applyAlignment="1" applyProtection="1">
      <alignment horizontal="center"/>
    </xf>
    <xf numFmtId="38" fontId="13" fillId="4" borderId="25" xfId="0" applyFont="1" applyFill="1" applyBorder="1" applyAlignment="1" applyProtection="1">
      <alignment horizontal="center"/>
    </xf>
    <xf numFmtId="38" fontId="13" fillId="4" borderId="26" xfId="0" applyFont="1" applyFill="1" applyBorder="1" applyAlignment="1" applyProtection="1">
      <alignment horizontal="center"/>
    </xf>
    <xf numFmtId="38" fontId="5" fillId="4" borderId="24" xfId="0" applyFont="1" applyFill="1" applyBorder="1" applyAlignment="1" applyProtection="1">
      <alignment horizontal="center"/>
    </xf>
    <xf numFmtId="10" fontId="5" fillId="4" borderId="25" xfId="0" applyNumberFormat="1" applyFont="1" applyFill="1" applyBorder="1" applyAlignment="1" applyProtection="1">
      <alignment horizontal="center"/>
    </xf>
    <xf numFmtId="10" fontId="5" fillId="4" borderId="26" xfId="0" applyNumberFormat="1" applyFont="1" applyFill="1" applyBorder="1" applyAlignment="1" applyProtection="1">
      <alignment horizontal="center"/>
    </xf>
    <xf numFmtId="183" fontId="5" fillId="3" borderId="9" xfId="1" applyNumberFormat="1" applyFont="1" applyFill="1" applyBorder="1" applyAlignment="1" applyProtection="1">
      <alignment horizontal="center"/>
      <protection locked="0"/>
    </xf>
    <xf numFmtId="183" fontId="5" fillId="3" borderId="9" xfId="1" applyNumberFormat="1" applyFont="1" applyFill="1" applyBorder="1" applyAlignment="1" applyProtection="1">
      <alignment horizontal="right"/>
      <protection locked="0"/>
    </xf>
    <xf numFmtId="183" fontId="5" fillId="3" borderId="9" xfId="1" applyNumberFormat="1" applyFont="1" applyFill="1" applyBorder="1" applyAlignment="1" applyProtection="1">
      <alignment horizontal="center"/>
    </xf>
    <xf numFmtId="188" fontId="5" fillId="3" borderId="13" xfId="1" applyNumberFormat="1" applyFont="1" applyFill="1" applyBorder="1" applyAlignment="1" applyProtection="1">
      <alignment horizontal="center"/>
    </xf>
    <xf numFmtId="38" fontId="18" fillId="4" borderId="19" xfId="0" applyFont="1" applyFill="1" applyBorder="1" applyAlignment="1">
      <alignment horizontal="center" vertical="center"/>
    </xf>
    <xf numFmtId="38" fontId="10" fillId="4" borderId="0" xfId="0" applyFont="1" applyFill="1" applyBorder="1" applyAlignment="1">
      <alignment vertical="center"/>
    </xf>
    <xf numFmtId="170" fontId="9" fillId="4" borderId="16" xfId="0" applyNumberFormat="1" applyFont="1" applyFill="1" applyBorder="1" applyAlignment="1">
      <alignment horizontal="center" vertical="center"/>
    </xf>
    <xf numFmtId="170" fontId="9" fillId="4" borderId="61" xfId="0" applyNumberFormat="1" applyFont="1" applyFill="1" applyBorder="1" applyAlignment="1">
      <alignment horizontal="center" vertical="center"/>
    </xf>
    <xf numFmtId="170" fontId="9" fillId="4" borderId="18" xfId="0" applyNumberFormat="1" applyFont="1" applyFill="1" applyBorder="1" applyAlignment="1">
      <alignment horizontal="center" vertical="center"/>
    </xf>
    <xf numFmtId="170" fontId="9" fillId="4" borderId="69" xfId="0" applyNumberFormat="1" applyFont="1" applyFill="1" applyBorder="1" applyAlignment="1">
      <alignment horizontal="center" vertical="center"/>
    </xf>
    <xf numFmtId="38" fontId="9" fillId="4" borderId="53" xfId="0" applyFont="1" applyFill="1" applyBorder="1" applyAlignment="1">
      <alignment horizontal="center" vertical="center"/>
    </xf>
    <xf numFmtId="38" fontId="9" fillId="4" borderId="56" xfId="0" applyFont="1" applyFill="1" applyBorder="1" applyAlignment="1">
      <alignment horizontal="center" vertical="center"/>
    </xf>
    <xf numFmtId="172" fontId="5" fillId="4" borderId="40" xfId="0" applyNumberFormat="1" applyFont="1" applyFill="1" applyBorder="1"/>
    <xf numFmtId="172" fontId="5" fillId="4" borderId="29" xfId="0" applyNumberFormat="1" applyFont="1" applyFill="1" applyBorder="1"/>
    <xf numFmtId="172" fontId="5" fillId="4" borderId="9" xfId="0" applyNumberFormat="1" applyFont="1" applyFill="1" applyBorder="1" applyProtection="1">
      <protection locked="0"/>
    </xf>
    <xf numFmtId="172" fontId="5" fillId="4" borderId="4" xfId="0" applyNumberFormat="1" applyFont="1" applyFill="1" applyBorder="1"/>
    <xf numFmtId="172" fontId="5" fillId="4" borderId="9" xfId="0" applyNumberFormat="1" applyFont="1" applyFill="1" applyBorder="1"/>
    <xf numFmtId="38" fontId="5" fillId="4" borderId="44" xfId="0" applyFont="1" applyFill="1" applyBorder="1"/>
    <xf numFmtId="38" fontId="5" fillId="4" borderId="50" xfId="0" applyFont="1" applyFill="1" applyBorder="1"/>
    <xf numFmtId="172" fontId="5" fillId="4" borderId="13" xfId="0" applyNumberFormat="1" applyFont="1" applyFill="1" applyBorder="1" applyProtection="1">
      <protection locked="0"/>
    </xf>
    <xf numFmtId="172" fontId="5" fillId="4" borderId="13" xfId="0" applyNumberFormat="1" applyFont="1" applyFill="1" applyBorder="1"/>
    <xf numFmtId="170" fontId="9" fillId="4" borderId="70" xfId="0" applyNumberFormat="1" applyFont="1" applyFill="1" applyBorder="1" applyAlignment="1">
      <alignment horizontal="center" vertical="center"/>
    </xf>
    <xf numFmtId="170" fontId="9" fillId="4" borderId="17" xfId="0" applyNumberFormat="1" applyFont="1" applyFill="1" applyBorder="1" applyAlignment="1">
      <alignment horizontal="center" vertical="center"/>
    </xf>
    <xf numFmtId="170" fontId="9" fillId="4" borderId="62" xfId="0" applyNumberFormat="1" applyFont="1" applyFill="1" applyBorder="1" applyAlignment="1">
      <alignment horizontal="center" vertical="center"/>
    </xf>
    <xf numFmtId="170" fontId="9" fillId="4" borderId="0" xfId="0" applyNumberFormat="1" applyFont="1" applyFill="1" applyBorder="1" applyAlignment="1">
      <alignment horizontal="center" vertical="center"/>
    </xf>
    <xf numFmtId="170" fontId="9" fillId="4" borderId="59" xfId="0" applyNumberFormat="1" applyFont="1" applyFill="1" applyBorder="1" applyAlignment="1">
      <alignment horizontal="center" vertical="center"/>
    </xf>
    <xf numFmtId="170" fontId="9" fillId="4" borderId="20" xfId="0" applyNumberFormat="1" applyFont="1" applyFill="1" applyBorder="1" applyAlignment="1">
      <alignment horizontal="center" vertical="center"/>
    </xf>
    <xf numFmtId="172" fontId="5" fillId="4" borderId="28" xfId="0" applyNumberFormat="1" applyFont="1" applyFill="1" applyBorder="1"/>
    <xf numFmtId="172" fontId="5" fillId="4" borderId="11" xfId="0" applyNumberFormat="1" applyFont="1" applyFill="1" applyBorder="1"/>
    <xf numFmtId="183" fontId="4" fillId="4" borderId="27" xfId="0" applyNumberFormat="1" applyFont="1" applyFill="1" applyBorder="1"/>
    <xf numFmtId="174" fontId="4" fillId="4" borderId="8" xfId="0" applyNumberFormat="1" applyFont="1" applyFill="1" applyBorder="1"/>
    <xf numFmtId="38" fontId="4" fillId="4" borderId="27" xfId="0" applyNumberFormat="1" applyFont="1" applyFill="1" applyBorder="1"/>
    <xf numFmtId="3" fontId="4" fillId="4" borderId="0" xfId="0" applyNumberFormat="1" applyFont="1" applyFill="1"/>
    <xf numFmtId="3" fontId="5" fillId="4" borderId="0" xfId="0" applyNumberFormat="1" applyFont="1" applyFill="1"/>
    <xf numFmtId="38" fontId="13" fillId="4" borderId="24" xfId="0" applyFont="1" applyFill="1" applyBorder="1" applyAlignment="1">
      <alignment horizontal="center"/>
    </xf>
    <xf numFmtId="38" fontId="13" fillId="4" borderId="25" xfId="0" applyFont="1" applyFill="1" applyBorder="1" applyAlignment="1">
      <alignment horizontal="center"/>
    </xf>
    <xf numFmtId="38" fontId="13" fillId="4" borderId="26" xfId="0" applyFont="1" applyFill="1" applyBorder="1" applyAlignment="1">
      <alignment horizontal="center"/>
    </xf>
    <xf numFmtId="38" fontId="5" fillId="4" borderId="24" xfId="0" applyFont="1" applyFill="1" applyBorder="1" applyAlignment="1">
      <alignment horizontal="center"/>
    </xf>
    <xf numFmtId="10" fontId="5" fillId="4" borderId="25" xfId="0" applyNumberFormat="1" applyFont="1" applyFill="1" applyBorder="1" applyAlignment="1">
      <alignment horizontal="center"/>
    </xf>
    <xf numFmtId="10" fontId="5" fillId="4" borderId="26" xfId="0" applyNumberFormat="1" applyFont="1" applyFill="1" applyBorder="1" applyAlignment="1">
      <alignment horizontal="center"/>
    </xf>
    <xf numFmtId="38" fontId="3" fillId="4" borderId="71" xfId="0" applyFont="1" applyFill="1" applyBorder="1"/>
    <xf numFmtId="174" fontId="3" fillId="4" borderId="62" xfId="0" applyNumberFormat="1" applyFont="1" applyFill="1" applyBorder="1"/>
    <xf numFmtId="2" fontId="24" fillId="0" borderId="4" xfId="2" applyNumberFormat="1" applyFont="1" applyFill="1" applyBorder="1" applyAlignment="1">
      <alignment horizontal="right"/>
    </xf>
    <xf numFmtId="38" fontId="9" fillId="4" borderId="67" xfId="0" applyFont="1" applyFill="1" applyBorder="1" applyAlignment="1" applyProtection="1">
      <alignment horizontal="center"/>
    </xf>
    <xf numFmtId="38" fontId="9" fillId="4" borderId="56" xfId="0" applyFont="1" applyFill="1" applyBorder="1" applyAlignment="1" applyProtection="1">
      <alignment horizontal="center" vertical="center"/>
    </xf>
    <xf numFmtId="170" fontId="9" fillId="4" borderId="8" xfId="0" applyNumberFormat="1" applyFont="1" applyFill="1" applyBorder="1" applyAlignment="1" applyProtection="1">
      <alignment horizontal="center" vertical="center"/>
    </xf>
    <xf numFmtId="173" fontId="5" fillId="4" borderId="12" xfId="0" applyNumberFormat="1" applyFont="1" applyFill="1" applyBorder="1"/>
    <xf numFmtId="174" fontId="5" fillId="4" borderId="1" xfId="0" applyNumberFormat="1" applyFont="1" applyFill="1" applyBorder="1"/>
    <xf numFmtId="38" fontId="25" fillId="4" borderId="3" xfId="0" applyFont="1" applyFill="1" applyBorder="1" applyAlignment="1">
      <alignment vertical="center"/>
    </xf>
    <xf numFmtId="173" fontId="5" fillId="4" borderId="3" xfId="0" applyNumberFormat="1" applyFont="1" applyFill="1" applyBorder="1"/>
    <xf numFmtId="173" fontId="5" fillId="4" borderId="9" xfId="0" applyNumberFormat="1" applyFont="1" applyFill="1" applyBorder="1"/>
    <xf numFmtId="173" fontId="5" fillId="4" borderId="3" xfId="0" applyNumberFormat="1" applyFont="1" applyFill="1" applyBorder="1" applyProtection="1">
      <protection locked="0"/>
    </xf>
    <xf numFmtId="38" fontId="25" fillId="4" borderId="8" xfId="0" applyFont="1" applyFill="1" applyBorder="1" applyAlignment="1">
      <alignment vertical="center"/>
    </xf>
    <xf numFmtId="173" fontId="5" fillId="4" borderId="8" xfId="0" applyNumberFormat="1" applyFont="1" applyFill="1" applyBorder="1"/>
    <xf numFmtId="173" fontId="5" fillId="4" borderId="13" xfId="0" applyNumberFormat="1" applyFont="1" applyFill="1" applyBorder="1"/>
    <xf numFmtId="173" fontId="4" fillId="4" borderId="72" xfId="0" applyNumberFormat="1" applyFont="1" applyFill="1" applyBorder="1" applyProtection="1"/>
    <xf numFmtId="173" fontId="5" fillId="4" borderId="30" xfId="0" applyNumberFormat="1" applyFont="1" applyFill="1" applyBorder="1"/>
    <xf numFmtId="173" fontId="5" fillId="4" borderId="11" xfId="0" applyNumberFormat="1" applyFont="1" applyFill="1" applyBorder="1"/>
    <xf numFmtId="173" fontId="5" fillId="4" borderId="45" xfId="0" applyNumberFormat="1" applyFont="1" applyFill="1" applyBorder="1"/>
    <xf numFmtId="173" fontId="5" fillId="4" borderId="27" xfId="0" applyNumberFormat="1" applyFont="1" applyFill="1" applyBorder="1"/>
    <xf numFmtId="173" fontId="4" fillId="4" borderId="74" xfId="0" applyNumberFormat="1" applyFont="1" applyFill="1" applyBorder="1"/>
    <xf numFmtId="185" fontId="4" fillId="4" borderId="37" xfId="0" applyNumberFormat="1" applyFont="1" applyFill="1" applyBorder="1" applyAlignment="1">
      <alignment horizontal="right"/>
    </xf>
    <xf numFmtId="173" fontId="4" fillId="4" borderId="32" xfId="0" applyNumberFormat="1" applyFont="1" applyFill="1" applyBorder="1" applyAlignment="1">
      <alignment horizontal="right"/>
    </xf>
    <xf numFmtId="187" fontId="4" fillId="4" borderId="37" xfId="0" applyNumberFormat="1" applyFont="1" applyFill="1" applyBorder="1" applyAlignment="1">
      <alignment horizontal="right"/>
    </xf>
    <xf numFmtId="166" fontId="5" fillId="4" borderId="25" xfId="3" applyNumberFormat="1" applyFont="1" applyFill="1" applyBorder="1" applyAlignment="1" applyProtection="1">
      <alignment horizontal="center"/>
    </xf>
    <xf numFmtId="166" fontId="5" fillId="4" borderId="26" xfId="3" applyNumberFormat="1" applyFont="1" applyFill="1" applyBorder="1" applyAlignment="1" applyProtection="1">
      <alignment horizontal="center"/>
    </xf>
    <xf numFmtId="38" fontId="4" fillId="4" borderId="40" xfId="0" applyFont="1" applyFill="1" applyBorder="1" applyProtection="1"/>
    <xf numFmtId="38" fontId="5" fillId="4" borderId="4" xfId="0" applyFont="1" applyFill="1" applyBorder="1"/>
    <xf numFmtId="38" fontId="5" fillId="4" borderId="31" xfId="0" applyFont="1" applyFill="1" applyBorder="1"/>
    <xf numFmtId="38" fontId="27" fillId="4" borderId="52" xfId="0" applyFont="1" applyFill="1" applyBorder="1" applyAlignment="1">
      <alignment vertical="center"/>
    </xf>
    <xf numFmtId="38" fontId="5" fillId="4" borderId="49" xfId="0" applyFont="1" applyFill="1" applyBorder="1"/>
    <xf numFmtId="38" fontId="5" fillId="4" borderId="51" xfId="0" applyFont="1" applyFill="1" applyBorder="1"/>
    <xf numFmtId="38" fontId="4" fillId="4" borderId="57" xfId="0" applyFont="1" applyFill="1" applyBorder="1"/>
    <xf numFmtId="38" fontId="4" fillId="4" borderId="77" xfId="0" applyFont="1" applyFill="1" applyBorder="1"/>
    <xf numFmtId="174" fontId="5" fillId="4" borderId="3" xfId="0" applyNumberFormat="1" applyFont="1" applyFill="1" applyBorder="1" applyAlignment="1">
      <alignment horizontal="right"/>
    </xf>
    <xf numFmtId="173" fontId="4" fillId="4" borderId="11" xfId="0" applyNumberFormat="1" applyFont="1" applyFill="1" applyBorder="1" applyAlignment="1">
      <alignment horizontal="right"/>
    </xf>
    <xf numFmtId="174" fontId="5" fillId="4" borderId="8" xfId="0" applyNumberFormat="1" applyFont="1" applyFill="1" applyBorder="1" applyAlignment="1">
      <alignment horizontal="right"/>
    </xf>
    <xf numFmtId="174" fontId="5" fillId="4" borderId="13" xfId="0" applyNumberFormat="1" applyFont="1" applyFill="1" applyBorder="1" applyAlignment="1">
      <alignment horizontal="right"/>
    </xf>
    <xf numFmtId="173" fontId="4" fillId="4" borderId="27" xfId="0" applyNumberFormat="1" applyFont="1" applyFill="1" applyBorder="1" applyAlignment="1">
      <alignment horizontal="right"/>
    </xf>
    <xf numFmtId="185" fontId="4" fillId="4" borderId="5" xfId="0" applyNumberFormat="1" applyFont="1" applyFill="1" applyBorder="1" applyAlignment="1">
      <alignment horizontal="right"/>
    </xf>
    <xf numFmtId="185" fontId="4" fillId="4" borderId="6" xfId="0" applyNumberFormat="1" applyFont="1" applyFill="1" applyBorder="1" applyAlignment="1">
      <alignment horizontal="right"/>
    </xf>
    <xf numFmtId="173" fontId="4" fillId="4" borderId="7" xfId="0" applyNumberFormat="1" applyFont="1" applyFill="1" applyBorder="1" applyAlignment="1">
      <alignment horizontal="right"/>
    </xf>
    <xf numFmtId="174" fontId="4" fillId="4" borderId="11" xfId="0" applyNumberFormat="1" applyFont="1" applyFill="1" applyBorder="1"/>
    <xf numFmtId="174" fontId="5" fillId="4" borderId="12" xfId="0" applyNumberFormat="1" applyFont="1" applyFill="1" applyBorder="1"/>
    <xf numFmtId="187" fontId="4" fillId="4" borderId="64" xfId="0" applyNumberFormat="1" applyFont="1" applyFill="1" applyBorder="1" applyAlignment="1">
      <alignment horizontal="right"/>
    </xf>
    <xf numFmtId="38" fontId="9" fillId="4" borderId="41" xfId="0" applyFont="1" applyFill="1" applyBorder="1" applyAlignment="1" applyProtection="1">
      <alignment horizontal="center"/>
    </xf>
    <xf numFmtId="38" fontId="9" fillId="4" borderId="13" xfId="0" applyFont="1" applyFill="1" applyBorder="1" applyAlignment="1" applyProtection="1">
      <alignment horizontal="center"/>
    </xf>
    <xf numFmtId="174" fontId="4" fillId="4" borderId="50" xfId="0" applyNumberFormat="1" applyFont="1" applyFill="1" applyBorder="1"/>
    <xf numFmtId="38" fontId="9" fillId="4" borderId="53" xfId="0" applyFont="1" applyFill="1" applyBorder="1" applyAlignment="1" applyProtection="1">
      <alignment horizontal="center" vertical="center"/>
    </xf>
    <xf numFmtId="38" fontId="9" fillId="4" borderId="55" xfId="0" applyFont="1" applyFill="1" applyBorder="1" applyAlignment="1" applyProtection="1">
      <alignment horizontal="center" vertical="center"/>
    </xf>
    <xf numFmtId="170" fontId="9" fillId="4" borderId="1" xfId="0" applyNumberFormat="1" applyFont="1" applyFill="1" applyBorder="1" applyAlignment="1" applyProtection="1">
      <alignment horizontal="center" vertical="center"/>
    </xf>
    <xf numFmtId="170" fontId="9" fillId="4" borderId="14" xfId="0" applyNumberFormat="1" applyFont="1" applyFill="1" applyBorder="1" applyAlignment="1" applyProtection="1">
      <alignment horizontal="center" vertical="center"/>
    </xf>
    <xf numFmtId="170" fontId="9" fillId="4" borderId="15" xfId="0" applyNumberFormat="1" applyFont="1" applyFill="1" applyBorder="1" applyAlignment="1" applyProtection="1">
      <alignment horizontal="center" vertical="center"/>
    </xf>
    <xf numFmtId="38" fontId="5" fillId="4" borderId="39" xfId="0" applyFont="1" applyFill="1" applyBorder="1"/>
    <xf numFmtId="38" fontId="5" fillId="4" borderId="10" xfId="0" applyFont="1" applyFill="1" applyBorder="1"/>
    <xf numFmtId="174" fontId="5" fillId="4" borderId="10" xfId="0" applyNumberFormat="1" applyFont="1" applyFill="1" applyBorder="1"/>
    <xf numFmtId="174" fontId="5" fillId="4" borderId="44" xfId="0" applyNumberFormat="1" applyFont="1" applyFill="1" applyBorder="1"/>
    <xf numFmtId="38" fontId="5" fillId="4" borderId="38" xfId="0" applyFont="1" applyFill="1" applyBorder="1"/>
    <xf numFmtId="174" fontId="5" fillId="4" borderId="39" xfId="0" applyNumberFormat="1" applyFont="1" applyFill="1" applyBorder="1"/>
    <xf numFmtId="174" fontId="5" fillId="4" borderId="48" xfId="0" applyNumberFormat="1" applyFont="1" applyFill="1" applyBorder="1"/>
    <xf numFmtId="174" fontId="5" fillId="4" borderId="15" xfId="0" applyNumberFormat="1" applyFont="1" applyFill="1" applyBorder="1" applyProtection="1"/>
    <xf numFmtId="38" fontId="5" fillId="4" borderId="43" xfId="0" applyFont="1" applyFill="1" applyBorder="1"/>
    <xf numFmtId="174" fontId="5" fillId="4" borderId="11" xfId="0" applyNumberFormat="1" applyFont="1" applyFill="1" applyBorder="1" applyProtection="1"/>
    <xf numFmtId="38" fontId="4" fillId="4" borderId="41" xfId="0" applyFont="1" applyFill="1" applyBorder="1"/>
    <xf numFmtId="38" fontId="4" fillId="4" borderId="42" xfId="0" applyFont="1" applyFill="1" applyBorder="1"/>
    <xf numFmtId="174" fontId="4" fillId="4" borderId="42" xfId="0" applyNumberFormat="1" applyFont="1" applyFill="1" applyBorder="1"/>
    <xf numFmtId="174" fontId="5" fillId="4" borderId="19" xfId="0" applyNumberFormat="1" applyFont="1" applyFill="1" applyBorder="1"/>
    <xf numFmtId="174" fontId="9" fillId="4" borderId="70" xfId="0" applyNumberFormat="1" applyFont="1" applyFill="1" applyBorder="1" applyAlignment="1">
      <alignment horizontal="center" vertical="center"/>
    </xf>
    <xf numFmtId="174" fontId="9" fillId="4" borderId="61" xfId="0" applyNumberFormat="1" applyFont="1" applyFill="1" applyBorder="1" applyAlignment="1">
      <alignment horizontal="center" vertical="center"/>
    </xf>
    <xf numFmtId="174" fontId="9" fillId="4" borderId="69" xfId="0" applyNumberFormat="1" applyFont="1" applyFill="1" applyBorder="1" applyAlignment="1">
      <alignment horizontal="center" vertical="center"/>
    </xf>
    <xf numFmtId="174" fontId="9" fillId="4" borderId="60" xfId="0" applyNumberFormat="1" applyFont="1" applyFill="1" applyBorder="1" applyAlignment="1">
      <alignment horizontal="center" vertical="center"/>
    </xf>
    <xf numFmtId="183" fontId="5" fillId="4" borderId="3" xfId="1" applyNumberFormat="1" applyFont="1" applyFill="1" applyBorder="1"/>
    <xf numFmtId="183" fontId="5" fillId="4" borderId="9" xfId="1" applyNumberFormat="1" applyFont="1" applyFill="1" applyBorder="1"/>
    <xf numFmtId="183" fontId="5" fillId="4" borderId="13" xfId="1" applyNumberFormat="1" applyFont="1" applyFill="1" applyBorder="1" applyProtection="1">
      <protection locked="0"/>
    </xf>
    <xf numFmtId="183" fontId="5" fillId="4" borderId="46" xfId="1" applyNumberFormat="1" applyFont="1" applyFill="1" applyBorder="1"/>
    <xf numFmtId="183" fontId="5" fillId="4" borderId="14" xfId="1" applyNumberFormat="1" applyFont="1" applyFill="1" applyBorder="1"/>
    <xf numFmtId="183" fontId="5" fillId="4" borderId="15" xfId="1" applyNumberFormat="1" applyFont="1" applyFill="1" applyBorder="1"/>
    <xf numFmtId="183" fontId="5" fillId="4" borderId="10" xfId="1" applyNumberFormat="1" applyFont="1" applyFill="1" applyBorder="1"/>
    <xf numFmtId="183" fontId="5" fillId="4" borderId="11" xfId="1" applyNumberFormat="1" applyFont="1" applyFill="1" applyBorder="1"/>
    <xf numFmtId="183" fontId="4" fillId="4" borderId="42" xfId="1" applyNumberFormat="1" applyFont="1" applyFill="1" applyBorder="1"/>
    <xf numFmtId="183" fontId="4" fillId="4" borderId="8" xfId="1" applyNumberFormat="1" applyFont="1" applyFill="1" applyBorder="1"/>
    <xf numFmtId="183" fontId="4" fillId="4" borderId="13" xfId="1" applyNumberFormat="1" applyFont="1" applyFill="1" applyBorder="1"/>
    <xf numFmtId="183" fontId="4" fillId="4" borderId="27" xfId="1" applyNumberFormat="1" applyFont="1" applyFill="1" applyBorder="1"/>
    <xf numFmtId="183" fontId="5" fillId="4" borderId="19" xfId="1" applyNumberFormat="1" applyFont="1" applyFill="1" applyBorder="1"/>
    <xf numFmtId="183" fontId="5" fillId="4" borderId="0" xfId="1" applyNumberFormat="1" applyFont="1" applyFill="1" applyBorder="1"/>
    <xf numFmtId="183" fontId="5" fillId="4" borderId="20" xfId="1" applyNumberFormat="1" applyFont="1" applyFill="1" applyBorder="1" applyProtection="1"/>
    <xf numFmtId="183" fontId="5" fillId="4" borderId="26" xfId="1" applyNumberFormat="1" applyFont="1" applyFill="1" applyBorder="1"/>
    <xf numFmtId="183" fontId="5" fillId="4" borderId="25" xfId="1" applyNumberFormat="1" applyFont="1" applyFill="1" applyBorder="1"/>
    <xf numFmtId="183" fontId="4" fillId="4" borderId="5" xfId="1" applyNumberFormat="1" applyFont="1" applyFill="1" applyBorder="1"/>
    <xf numFmtId="183" fontId="4" fillId="4" borderId="6" xfId="1" applyNumberFormat="1" applyFont="1" applyFill="1" applyBorder="1"/>
    <xf numFmtId="183" fontId="4" fillId="4" borderId="7" xfId="1" applyNumberFormat="1" applyFont="1" applyFill="1" applyBorder="1" applyProtection="1"/>
    <xf numFmtId="38" fontId="18" fillId="4" borderId="19" xfId="0" applyFont="1" applyFill="1" applyBorder="1" applyAlignment="1" applyProtection="1">
      <alignment horizontal="center" vertical="center"/>
      <protection hidden="1"/>
    </xf>
    <xf numFmtId="38" fontId="18" fillId="4" borderId="20" xfId="0" applyFont="1" applyFill="1" applyBorder="1" applyAlignment="1" applyProtection="1">
      <alignment horizontal="center" vertical="center"/>
      <protection hidden="1"/>
    </xf>
    <xf numFmtId="38" fontId="10" fillId="4" borderId="19" xfId="0" applyNumberFormat="1" applyFont="1" applyFill="1" applyBorder="1" applyAlignment="1" applyProtection="1">
      <alignment vertical="center"/>
      <protection hidden="1"/>
    </xf>
    <xf numFmtId="38" fontId="10" fillId="4" borderId="0" xfId="0" applyNumberFormat="1" applyFont="1" applyFill="1" applyBorder="1" applyAlignment="1" applyProtection="1">
      <alignment vertical="center"/>
      <protection hidden="1"/>
    </xf>
    <xf numFmtId="38" fontId="10" fillId="4" borderId="20" xfId="0" applyFont="1" applyFill="1" applyBorder="1" applyAlignment="1" applyProtection="1">
      <alignment vertical="center"/>
      <protection hidden="1"/>
    </xf>
    <xf numFmtId="38" fontId="10" fillId="4" borderId="19" xfId="0" applyFont="1" applyFill="1" applyBorder="1" applyAlignment="1" applyProtection="1">
      <alignment vertical="center"/>
      <protection hidden="1"/>
    </xf>
    <xf numFmtId="38" fontId="19" fillId="4" borderId="20" xfId="0" applyFont="1" applyFill="1" applyBorder="1" applyAlignment="1" applyProtection="1">
      <alignment vertical="center"/>
      <protection hidden="1"/>
    </xf>
    <xf numFmtId="38" fontId="19" fillId="4" borderId="19" xfId="0" applyFont="1" applyFill="1" applyBorder="1" applyAlignment="1" applyProtection="1">
      <alignment vertical="center"/>
      <protection hidden="1"/>
    </xf>
    <xf numFmtId="38" fontId="19" fillId="4" borderId="0" xfId="0" applyFont="1" applyFill="1" applyBorder="1" applyAlignment="1" applyProtection="1">
      <alignment vertical="center"/>
      <protection hidden="1"/>
    </xf>
    <xf numFmtId="170" fontId="9" fillId="4" borderId="29" xfId="0" applyNumberFormat="1" applyFont="1" applyFill="1" applyBorder="1" applyAlignment="1" applyProtection="1">
      <alignment horizontal="center" vertical="center"/>
      <protection hidden="1"/>
    </xf>
    <xf numFmtId="170" fontId="9" fillId="4" borderId="28" xfId="0" applyNumberFormat="1" applyFont="1" applyFill="1" applyBorder="1" applyAlignment="1" applyProtection="1">
      <alignment horizontal="center" vertical="center"/>
      <protection hidden="1"/>
    </xf>
    <xf numFmtId="38" fontId="5" fillId="4" borderId="0" xfId="0" applyFont="1" applyFill="1" applyProtection="1">
      <protection hidden="1"/>
    </xf>
    <xf numFmtId="38" fontId="13" fillId="4" borderId="24" xfId="0" applyFont="1" applyFill="1" applyBorder="1" applyAlignment="1" applyProtection="1">
      <alignment horizontal="center"/>
      <protection hidden="1"/>
    </xf>
    <xf numFmtId="38" fontId="13" fillId="4" borderId="25" xfId="0" applyFont="1" applyFill="1" applyBorder="1" applyAlignment="1" applyProtection="1">
      <alignment horizontal="center"/>
      <protection hidden="1"/>
    </xf>
    <xf numFmtId="171" fontId="5" fillId="4" borderId="12" xfId="0" applyNumberFormat="1" applyFont="1" applyFill="1" applyBorder="1" applyProtection="1">
      <protection hidden="1"/>
    </xf>
    <xf numFmtId="171" fontId="5" fillId="4" borderId="3" xfId="0" applyNumberFormat="1" applyFont="1" applyFill="1" applyBorder="1" applyProtection="1">
      <protection hidden="1"/>
    </xf>
    <xf numFmtId="173" fontId="5" fillId="4" borderId="12" xfId="0" applyNumberFormat="1" applyFont="1" applyFill="1" applyBorder="1" applyProtection="1">
      <protection hidden="1"/>
    </xf>
    <xf numFmtId="173" fontId="5" fillId="4" borderId="29" xfId="0" applyNumberFormat="1" applyFont="1" applyFill="1" applyBorder="1" applyProtection="1">
      <protection hidden="1"/>
    </xf>
    <xf numFmtId="38" fontId="13" fillId="4" borderId="26" xfId="0" applyFont="1" applyFill="1" applyBorder="1" applyAlignment="1" applyProtection="1">
      <alignment horizontal="center"/>
      <protection hidden="1"/>
    </xf>
    <xf numFmtId="173" fontId="5" fillId="4" borderId="28" xfId="0" applyNumberFormat="1" applyFont="1" applyFill="1" applyBorder="1" applyProtection="1">
      <protection hidden="1"/>
    </xf>
    <xf numFmtId="173" fontId="5" fillId="4" borderId="3" xfId="0" applyNumberFormat="1" applyFont="1" applyFill="1" applyBorder="1" applyProtection="1">
      <protection hidden="1"/>
    </xf>
    <xf numFmtId="173" fontId="5" fillId="4" borderId="9" xfId="0" applyNumberFormat="1" applyFont="1" applyFill="1" applyBorder="1" applyProtection="1">
      <protection hidden="1"/>
    </xf>
    <xf numFmtId="173" fontId="5" fillId="4" borderId="11" xfId="0" applyNumberFormat="1" applyFont="1" applyFill="1" applyBorder="1" applyProtection="1">
      <protection hidden="1"/>
    </xf>
    <xf numFmtId="173" fontId="5" fillId="4" borderId="13" xfId="0" applyNumberFormat="1" applyFont="1" applyFill="1" applyBorder="1" applyProtection="1">
      <protection hidden="1"/>
    </xf>
    <xf numFmtId="173" fontId="5" fillId="4" borderId="27" xfId="0" applyNumberFormat="1" applyFont="1" applyFill="1" applyBorder="1" applyProtection="1">
      <protection hidden="1"/>
    </xf>
    <xf numFmtId="173" fontId="9" fillId="4" borderId="1" xfId="0" applyNumberFormat="1" applyFont="1" applyFill="1" applyBorder="1" applyAlignment="1" applyProtection="1">
      <alignment horizontal="center" vertical="center"/>
      <protection hidden="1"/>
    </xf>
    <xf numFmtId="173" fontId="9" fillId="4" borderId="14" xfId="0" applyNumberFormat="1" applyFont="1" applyFill="1" applyBorder="1" applyAlignment="1" applyProtection="1">
      <alignment horizontal="center" vertical="center"/>
      <protection hidden="1"/>
    </xf>
    <xf numFmtId="173" fontId="9" fillId="4" borderId="15" xfId="0" applyNumberFormat="1" applyFont="1" applyFill="1" applyBorder="1" applyAlignment="1" applyProtection="1">
      <alignment horizontal="center" vertical="center"/>
      <protection hidden="1"/>
    </xf>
    <xf numFmtId="38" fontId="5" fillId="4" borderId="24" xfId="0" applyFont="1" applyFill="1" applyBorder="1" applyAlignment="1" applyProtection="1">
      <alignment horizontal="center"/>
      <protection hidden="1"/>
    </xf>
    <xf numFmtId="166" fontId="5" fillId="4" borderId="25" xfId="3" applyNumberFormat="1" applyFont="1" applyFill="1" applyBorder="1" applyAlignment="1" applyProtection="1">
      <alignment horizontal="center"/>
      <protection hidden="1"/>
    </xf>
    <xf numFmtId="166" fontId="5" fillId="4" borderId="26" xfId="3" applyNumberFormat="1" applyFont="1" applyFill="1" applyBorder="1" applyAlignment="1" applyProtection="1">
      <alignment horizontal="center"/>
      <protection hidden="1"/>
    </xf>
    <xf numFmtId="38" fontId="33" fillId="4" borderId="19" xfId="0" applyFont="1" applyFill="1" applyBorder="1" applyAlignment="1" applyProtection="1">
      <alignment horizontal="center"/>
    </xf>
    <xf numFmtId="38" fontId="33" fillId="4" borderId="0" xfId="0" applyFont="1" applyFill="1" applyBorder="1" applyAlignment="1" applyProtection="1">
      <alignment horizontal="center"/>
    </xf>
    <xf numFmtId="38" fontId="30" fillId="4" borderId="0" xfId="0" applyFont="1" applyFill="1" applyBorder="1" applyAlignment="1">
      <alignment horizontal="center"/>
    </xf>
    <xf numFmtId="174" fontId="3" fillId="4" borderId="4" xfId="0" applyNumberFormat="1" applyFont="1" applyFill="1" applyBorder="1"/>
    <xf numFmtId="38" fontId="3" fillId="4" borderId="43" xfId="0" applyFont="1" applyFill="1" applyBorder="1"/>
    <xf numFmtId="174" fontId="24" fillId="4" borderId="8" xfId="0" applyNumberFormat="1" applyFont="1" applyFill="1" applyBorder="1"/>
    <xf numFmtId="174" fontId="3" fillId="4" borderId="4" xfId="0" applyNumberFormat="1" applyFont="1" applyFill="1" applyBorder="1" applyProtection="1">
      <protection locked="0"/>
    </xf>
    <xf numFmtId="174" fontId="3" fillId="4" borderId="9" xfId="0" applyNumberFormat="1" applyFont="1" applyFill="1" applyBorder="1" applyProtection="1">
      <protection locked="0"/>
    </xf>
    <xf numFmtId="174" fontId="3" fillId="4" borderId="11" xfId="0" applyNumberFormat="1" applyFont="1" applyFill="1" applyBorder="1" applyProtection="1">
      <protection locked="0"/>
    </xf>
    <xf numFmtId="174" fontId="24" fillId="4" borderId="13" xfId="0" applyNumberFormat="1" applyFont="1" applyFill="1" applyBorder="1"/>
    <xf numFmtId="174" fontId="24" fillId="4" borderId="27" xfId="0" applyNumberFormat="1" applyFont="1" applyFill="1" applyBorder="1"/>
    <xf numFmtId="174" fontId="24" fillId="4" borderId="31" xfId="0" applyNumberFormat="1" applyFont="1" applyFill="1" applyBorder="1"/>
    <xf numFmtId="174" fontId="30" fillId="4" borderId="25" xfId="0" applyNumberFormat="1" applyFont="1" applyFill="1" applyBorder="1" applyAlignment="1">
      <alignment horizontal="center"/>
    </xf>
    <xf numFmtId="174" fontId="3" fillId="4" borderId="25" xfId="0" applyNumberFormat="1" applyFont="1" applyFill="1" applyBorder="1"/>
    <xf numFmtId="174" fontId="24" fillId="4" borderId="23" xfId="0" applyNumberFormat="1" applyFont="1" applyFill="1" applyBorder="1"/>
    <xf numFmtId="174" fontId="24" fillId="4" borderId="29" xfId="0" applyNumberFormat="1" applyFont="1" applyFill="1" applyBorder="1" applyAlignment="1">
      <alignment horizontal="left"/>
    </xf>
    <xf numFmtId="174" fontId="24" fillId="4" borderId="28" xfId="0" applyNumberFormat="1" applyFont="1" applyFill="1" applyBorder="1" applyAlignment="1">
      <alignment horizontal="left"/>
    </xf>
    <xf numFmtId="174" fontId="30" fillId="4" borderId="19" xfId="0" applyNumberFormat="1" applyFont="1" applyFill="1" applyBorder="1" applyAlignment="1">
      <alignment horizontal="center"/>
    </xf>
    <xf numFmtId="174" fontId="24" fillId="4" borderId="4" xfId="0" applyNumberFormat="1" applyFont="1" applyFill="1" applyBorder="1"/>
    <xf numFmtId="174" fontId="24" fillId="4" borderId="19" xfId="0" applyNumberFormat="1" applyFont="1" applyFill="1" applyBorder="1"/>
    <xf numFmtId="174" fontId="24" fillId="4" borderId="12" xfId="0" applyNumberFormat="1" applyFont="1" applyFill="1" applyBorder="1" applyAlignment="1">
      <alignment horizontal="left"/>
    </xf>
    <xf numFmtId="174" fontId="24" fillId="4" borderId="37" xfId="0" applyNumberFormat="1" applyFont="1" applyFill="1" applyBorder="1"/>
    <xf numFmtId="174" fontId="24" fillId="4" borderId="36" xfId="0" applyNumberFormat="1" applyFont="1" applyFill="1" applyBorder="1"/>
    <xf numFmtId="174" fontId="24" fillId="4" borderId="0" xfId="0" applyNumberFormat="1" applyFont="1" applyFill="1" applyBorder="1"/>
    <xf numFmtId="38" fontId="24" fillId="4" borderId="3" xfId="0" applyFont="1" applyFill="1" applyBorder="1"/>
    <xf numFmtId="174" fontId="3" fillId="4" borderId="19" xfId="0" applyNumberFormat="1" applyFont="1" applyFill="1" applyBorder="1"/>
    <xf numFmtId="174" fontId="24" fillId="4" borderId="32" xfId="0" applyNumberFormat="1" applyFont="1" applyFill="1" applyBorder="1"/>
    <xf numFmtId="174" fontId="24" fillId="4" borderId="7" xfId="0" applyNumberFormat="1" applyFont="1" applyFill="1" applyBorder="1"/>
    <xf numFmtId="174" fontId="24" fillId="4" borderId="5" xfId="0" applyNumberFormat="1" applyFont="1" applyFill="1" applyBorder="1"/>
    <xf numFmtId="174" fontId="24" fillId="4" borderId="6" xfId="0" applyNumberFormat="1" applyFont="1" applyFill="1" applyBorder="1"/>
    <xf numFmtId="174" fontId="3" fillId="4" borderId="25" xfId="1" applyNumberFormat="1" applyFont="1" applyFill="1" applyBorder="1"/>
    <xf numFmtId="38" fontId="3" fillId="4" borderId="38" xfId="0" applyFont="1" applyFill="1" applyBorder="1"/>
    <xf numFmtId="174" fontId="3" fillId="4" borderId="40" xfId="0" applyNumberFormat="1" applyFont="1" applyFill="1" applyBorder="1"/>
    <xf numFmtId="38" fontId="3" fillId="4" borderId="41" xfId="0" applyFont="1" applyFill="1" applyBorder="1"/>
    <xf numFmtId="174" fontId="3" fillId="4" borderId="31" xfId="0" applyNumberFormat="1" applyFont="1" applyFill="1" applyBorder="1"/>
    <xf numFmtId="174" fontId="24" fillId="4" borderId="32" xfId="0" applyNumberFormat="1" applyFont="1" applyFill="1" applyBorder="1" applyAlignment="1"/>
    <xf numFmtId="174" fontId="24" fillId="4" borderId="22" xfId="0" applyNumberFormat="1" applyFont="1" applyFill="1" applyBorder="1"/>
    <xf numFmtId="174" fontId="24" fillId="4" borderId="20" xfId="0" applyNumberFormat="1" applyFont="1" applyFill="1" applyBorder="1"/>
    <xf numFmtId="174" fontId="24" fillId="4" borderId="35" xfId="0" applyNumberFormat="1" applyFont="1" applyFill="1" applyBorder="1"/>
    <xf numFmtId="174" fontId="3" fillId="4" borderId="16" xfId="0" applyNumberFormat="1" applyFont="1" applyFill="1" applyBorder="1"/>
    <xf numFmtId="170" fontId="9" fillId="4" borderId="29" xfId="0" applyNumberFormat="1" applyFont="1" applyFill="1" applyBorder="1" applyAlignment="1" applyProtection="1">
      <alignment horizontal="center" vertical="center"/>
    </xf>
    <xf numFmtId="170" fontId="9" fillId="4" borderId="12" xfId="0" applyNumberFormat="1" applyFont="1" applyFill="1" applyBorder="1" applyAlignment="1" applyProtection="1">
      <alignment horizontal="center" vertical="center"/>
    </xf>
    <xf numFmtId="170" fontId="9" fillId="4" borderId="28" xfId="0" applyNumberFormat="1" applyFont="1" applyFill="1" applyBorder="1" applyAlignment="1" applyProtection="1">
      <alignment horizontal="center" vertical="center"/>
    </xf>
    <xf numFmtId="173" fontId="5" fillId="4" borderId="9" xfId="0" applyNumberFormat="1" applyFont="1" applyFill="1" applyBorder="1" applyAlignment="1" applyProtection="1">
      <alignment horizontal="center"/>
      <protection locked="0" hidden="1"/>
    </xf>
    <xf numFmtId="174" fontId="3" fillId="4" borderId="18" xfId="0" applyNumberFormat="1" applyFont="1" applyFill="1" applyBorder="1"/>
    <xf numFmtId="174" fontId="24" fillId="4" borderId="43" xfId="0" applyNumberFormat="1" applyFont="1" applyFill="1" applyBorder="1" applyAlignment="1">
      <alignment horizontal="left"/>
    </xf>
    <xf numFmtId="174" fontId="4" fillId="4" borderId="19" xfId="0" applyNumberFormat="1" applyFont="1" applyFill="1" applyBorder="1" applyAlignment="1">
      <alignment horizontal="center"/>
    </xf>
    <xf numFmtId="168" fontId="9" fillId="4" borderId="0" xfId="0" applyNumberFormat="1" applyFont="1" applyFill="1" applyBorder="1" applyAlignment="1">
      <alignment horizontal="center"/>
    </xf>
    <xf numFmtId="38" fontId="5" fillId="4" borderId="0" xfId="0" applyFont="1" applyFill="1" applyBorder="1" applyAlignment="1">
      <alignment vertical="center"/>
    </xf>
    <xf numFmtId="174" fontId="5" fillId="4" borderId="3" xfId="0" applyNumberFormat="1" applyFont="1" applyFill="1" applyBorder="1" applyProtection="1"/>
    <xf numFmtId="38" fontId="5" fillId="4" borderId="0" xfId="0" applyNumberFormat="1" applyFont="1" applyFill="1" applyBorder="1"/>
    <xf numFmtId="38" fontId="4" fillId="4" borderId="3" xfId="0" applyFont="1" applyFill="1" applyBorder="1"/>
    <xf numFmtId="38" fontId="5" fillId="4" borderId="3" xfId="0" applyFont="1" applyFill="1" applyBorder="1" applyProtection="1">
      <protection locked="0"/>
    </xf>
    <xf numFmtId="174" fontId="5" fillId="4" borderId="11" xfId="0" applyNumberFormat="1" applyFont="1" applyFill="1" applyBorder="1" applyProtection="1">
      <protection locked="0"/>
    </xf>
    <xf numFmtId="174" fontId="4" fillId="4" borderId="8" xfId="0" applyNumberFormat="1" applyFont="1" applyFill="1" applyBorder="1" applyProtection="1"/>
    <xf numFmtId="174" fontId="4" fillId="4" borderId="27" xfId="0" applyNumberFormat="1" applyFont="1" applyFill="1" applyBorder="1" applyProtection="1"/>
    <xf numFmtId="38" fontId="5" fillId="4" borderId="0" xfId="0" applyFont="1" applyFill="1" applyBorder="1" applyProtection="1"/>
    <xf numFmtId="38" fontId="5" fillId="4" borderId="3" xfId="0" applyNumberFormat="1" applyFont="1" applyFill="1" applyBorder="1" applyProtection="1"/>
    <xf numFmtId="38" fontId="5" fillId="4" borderId="11" xfId="0" applyNumberFormat="1" applyFont="1" applyFill="1" applyBorder="1" applyProtection="1"/>
    <xf numFmtId="38" fontId="4" fillId="4" borderId="8" xfId="0" applyFont="1" applyFill="1" applyBorder="1"/>
    <xf numFmtId="38" fontId="7" fillId="4" borderId="0" xfId="0" applyNumberFormat="1" applyFont="1" applyFill="1" applyBorder="1"/>
    <xf numFmtId="174" fontId="4" fillId="4" borderId="0" xfId="0" applyNumberFormat="1" applyFont="1" applyFill="1" applyBorder="1"/>
    <xf numFmtId="38" fontId="22" fillId="4" borderId="12" xfId="0" applyFont="1" applyFill="1" applyBorder="1" applyAlignment="1">
      <alignment horizontal="center"/>
    </xf>
    <xf numFmtId="174" fontId="22" fillId="4" borderId="28" xfId="0" applyNumberFormat="1" applyFont="1" applyFill="1" applyBorder="1" applyAlignment="1">
      <alignment horizontal="center"/>
    </xf>
    <xf numFmtId="38" fontId="7" fillId="4" borderId="3" xfId="0" applyNumberFormat="1" applyFont="1" applyFill="1" applyBorder="1"/>
    <xf numFmtId="38" fontId="7" fillId="4" borderId="8" xfId="0" applyNumberFormat="1" applyFont="1" applyFill="1" applyBorder="1" applyProtection="1"/>
    <xf numFmtId="38" fontId="4" fillId="4" borderId="27" xfId="0" applyNumberFormat="1" applyFont="1" applyFill="1" applyBorder="1" applyProtection="1"/>
    <xf numFmtId="38" fontId="4" fillId="4" borderId="0" xfId="0" applyNumberFormat="1" applyFont="1" applyFill="1" applyBorder="1"/>
    <xf numFmtId="38" fontId="7" fillId="4" borderId="8" xfId="0" applyNumberFormat="1" applyFont="1" applyFill="1" applyBorder="1"/>
    <xf numFmtId="38" fontId="7" fillId="4" borderId="0" xfId="0" applyNumberFormat="1" applyFont="1" applyFill="1" applyBorder="1" applyProtection="1"/>
    <xf numFmtId="38" fontId="4" fillId="4" borderId="0" xfId="0" applyNumberFormat="1" applyFont="1" applyFill="1" applyBorder="1" applyProtection="1"/>
    <xf numFmtId="38" fontId="22" fillId="4" borderId="5" xfId="0" applyNumberFormat="1" applyFont="1" applyFill="1" applyBorder="1" applyAlignment="1">
      <alignment horizontal="center"/>
    </xf>
    <xf numFmtId="174" fontId="4" fillId="4" borderId="7" xfId="0" applyNumberFormat="1" applyFont="1" applyFill="1" applyBorder="1"/>
    <xf numFmtId="38" fontId="22" fillId="4" borderId="28" xfId="0" applyFont="1" applyFill="1" applyBorder="1" applyAlignment="1">
      <alignment horizontal="center"/>
    </xf>
    <xf numFmtId="38" fontId="4" fillId="4" borderId="3" xfId="0" applyNumberFormat="1" applyFont="1" applyFill="1" applyBorder="1"/>
    <xf numFmtId="38" fontId="7" fillId="4" borderId="5" xfId="0" applyNumberFormat="1" applyFont="1" applyFill="1" applyBorder="1" applyProtection="1"/>
    <xf numFmtId="38" fontId="4" fillId="4" borderId="7" xfId="0" applyNumberFormat="1" applyFont="1" applyFill="1" applyBorder="1" applyProtection="1"/>
    <xf numFmtId="38" fontId="4" fillId="4" borderId="5" xfId="0" applyNumberFormat="1" applyFont="1" applyFill="1" applyBorder="1"/>
    <xf numFmtId="38" fontId="4" fillId="4" borderId="7" xfId="0" applyNumberFormat="1" applyFont="1" applyFill="1" applyBorder="1"/>
    <xf numFmtId="38" fontId="4" fillId="4" borderId="24" xfId="0" applyFont="1" applyFill="1" applyBorder="1" applyProtection="1"/>
    <xf numFmtId="174" fontId="4" fillId="4" borderId="25" xfId="0" applyNumberFormat="1" applyFont="1" applyFill="1" applyBorder="1" applyProtection="1"/>
    <xf numFmtId="38" fontId="4" fillId="4" borderId="25" xfId="0" applyNumberFormat="1" applyFont="1" applyFill="1" applyBorder="1"/>
    <xf numFmtId="38" fontId="12" fillId="4" borderId="25" xfId="0" applyFont="1" applyFill="1" applyBorder="1"/>
    <xf numFmtId="38" fontId="4" fillId="4" borderId="26" xfId="0" applyFont="1" applyFill="1" applyBorder="1"/>
    <xf numFmtId="38" fontId="35" fillId="4" borderId="53" xfId="0" applyFont="1" applyFill="1" applyBorder="1" applyAlignment="1" applyProtection="1">
      <alignment horizontal="center"/>
      <protection hidden="1"/>
    </xf>
    <xf numFmtId="38" fontId="35" fillId="4" borderId="56" xfId="0" applyFont="1" applyFill="1" applyBorder="1" applyAlignment="1" applyProtection="1">
      <alignment horizontal="center"/>
      <protection hidden="1"/>
    </xf>
    <xf numFmtId="180" fontId="5" fillId="4" borderId="21" xfId="0" applyNumberFormat="1" applyFont="1" applyFill="1" applyBorder="1" applyProtection="1">
      <protection hidden="1"/>
    </xf>
    <xf numFmtId="180" fontId="5" fillId="4" borderId="23" xfId="0" applyNumberFormat="1" applyFont="1" applyFill="1" applyBorder="1" applyProtection="1">
      <protection hidden="1"/>
    </xf>
    <xf numFmtId="173" fontId="5" fillId="4" borderId="22" xfId="0" applyNumberFormat="1" applyFont="1" applyFill="1" applyBorder="1" applyProtection="1">
      <protection hidden="1"/>
    </xf>
    <xf numFmtId="174" fontId="10" fillId="4" borderId="19" xfId="0" applyNumberFormat="1" applyFont="1" applyFill="1" applyBorder="1" applyAlignment="1">
      <alignment vertical="center"/>
    </xf>
    <xf numFmtId="174" fontId="10" fillId="4" borderId="0" xfId="0" applyNumberFormat="1" applyFont="1" applyFill="1" applyBorder="1" applyAlignment="1">
      <alignment vertical="center"/>
    </xf>
    <xf numFmtId="174" fontId="20" fillId="4" borderId="20" xfId="0" applyNumberFormat="1" applyFont="1" applyFill="1" applyBorder="1" applyAlignment="1">
      <alignment horizontal="right" vertical="center"/>
    </xf>
    <xf numFmtId="174" fontId="4" fillId="4" borderId="5" xfId="0" applyNumberFormat="1" applyFont="1" applyFill="1" applyBorder="1"/>
    <xf numFmtId="174" fontId="4" fillId="4" borderId="6" xfId="0" applyNumberFormat="1" applyFont="1" applyFill="1" applyBorder="1" applyAlignment="1">
      <alignment horizontal="right"/>
    </xf>
    <xf numFmtId="174" fontId="4" fillId="4" borderId="7" xfId="0" applyNumberFormat="1" applyFont="1" applyFill="1" applyBorder="1" applyAlignment="1">
      <alignment horizontal="right"/>
    </xf>
    <xf numFmtId="174" fontId="4" fillId="4" borderId="19" xfId="0" applyNumberFormat="1" applyFont="1" applyFill="1" applyBorder="1"/>
    <xf numFmtId="174" fontId="4" fillId="4" borderId="0" xfId="0" applyNumberFormat="1" applyFont="1" applyFill="1" applyBorder="1" applyAlignment="1">
      <alignment horizontal="center"/>
    </xf>
    <xf numFmtId="174" fontId="5" fillId="4" borderId="43" xfId="0" applyNumberFormat="1" applyFont="1" applyFill="1" applyBorder="1"/>
    <xf numFmtId="166" fontId="5" fillId="4" borderId="11" xfId="0" applyNumberFormat="1" applyFont="1" applyFill="1" applyBorder="1" applyAlignment="1">
      <alignment horizontal="center"/>
    </xf>
    <xf numFmtId="174" fontId="4" fillId="4" borderId="41" xfId="0" applyNumberFormat="1" applyFont="1" applyFill="1" applyBorder="1"/>
    <xf numFmtId="174" fontId="4" fillId="4" borderId="31" xfId="0" applyNumberFormat="1" applyFont="1" applyFill="1" applyBorder="1"/>
    <xf numFmtId="166" fontId="4" fillId="4" borderId="27" xfId="0" applyNumberFormat="1" applyFont="1" applyFill="1" applyBorder="1" applyAlignment="1">
      <alignment horizontal="center"/>
    </xf>
    <xf numFmtId="174" fontId="4" fillId="4" borderId="20" xfId="0" applyNumberFormat="1" applyFont="1" applyFill="1" applyBorder="1"/>
    <xf numFmtId="174" fontId="4" fillId="4" borderId="43" xfId="0" applyNumberFormat="1" applyFont="1" applyFill="1" applyBorder="1"/>
    <xf numFmtId="166" fontId="5" fillId="4" borderId="27" xfId="0" applyNumberFormat="1" applyFont="1" applyFill="1" applyBorder="1" applyAlignment="1">
      <alignment horizontal="center"/>
    </xf>
    <xf numFmtId="166" fontId="4" fillId="4" borderId="0" xfId="0" applyNumberFormat="1" applyFont="1" applyFill="1" applyBorder="1"/>
    <xf numFmtId="166" fontId="4" fillId="4" borderId="7" xfId="0" applyNumberFormat="1" applyFont="1" applyFill="1" applyBorder="1" applyAlignment="1">
      <alignment horizontal="center"/>
    </xf>
    <xf numFmtId="174" fontId="4" fillId="4" borderId="21" xfId="0" applyNumberFormat="1" applyFont="1" applyFill="1" applyBorder="1"/>
    <xf numFmtId="174" fontId="5" fillId="4" borderId="23" xfId="0" applyNumberFormat="1" applyFont="1" applyFill="1" applyBorder="1"/>
    <xf numFmtId="166" fontId="4" fillId="4" borderId="22" xfId="0" applyNumberFormat="1" applyFont="1" applyFill="1" applyBorder="1"/>
    <xf numFmtId="174" fontId="5" fillId="4" borderId="43" xfId="0" applyNumberFormat="1" applyFont="1" applyFill="1" applyBorder="1" applyProtection="1">
      <protection locked="0"/>
    </xf>
    <xf numFmtId="174" fontId="5" fillId="4" borderId="4" xfId="0" applyNumberFormat="1" applyFont="1" applyFill="1" applyBorder="1" applyProtection="1">
      <protection locked="0"/>
    </xf>
    <xf numFmtId="166" fontId="4" fillId="4" borderId="20" xfId="0" applyNumberFormat="1" applyFont="1" applyFill="1" applyBorder="1"/>
    <xf numFmtId="174" fontId="9" fillId="4" borderId="38" xfId="0" applyNumberFormat="1" applyFont="1" applyFill="1" applyBorder="1" applyAlignment="1">
      <alignment horizontal="center" vertical="center"/>
    </xf>
    <xf numFmtId="178" fontId="9" fillId="4" borderId="41" xfId="0" applyNumberFormat="1" applyFont="1" applyFill="1" applyBorder="1" applyAlignment="1">
      <alignment horizontal="center" vertical="center"/>
    </xf>
    <xf numFmtId="174" fontId="4" fillId="4" borderId="24" xfId="0" applyNumberFormat="1" applyFont="1" applyFill="1" applyBorder="1"/>
    <xf numFmtId="174" fontId="4" fillId="4" borderId="35" xfId="0" applyNumberFormat="1" applyFont="1" applyFill="1" applyBorder="1"/>
    <xf numFmtId="38" fontId="5" fillId="4" borderId="0" xfId="0" applyFont="1" applyFill="1" applyAlignment="1">
      <alignment vertical="center"/>
    </xf>
    <xf numFmtId="173" fontId="5" fillId="4" borderId="28" xfId="0" applyNumberFormat="1" applyFont="1" applyFill="1" applyBorder="1"/>
    <xf numFmtId="173" fontId="5" fillId="4" borderId="1" xfId="0" applyNumberFormat="1" applyFont="1" applyFill="1" applyBorder="1"/>
    <xf numFmtId="173" fontId="5" fillId="4" borderId="14" xfId="0" applyNumberFormat="1" applyFont="1" applyFill="1" applyBorder="1"/>
    <xf numFmtId="38" fontId="0" fillId="4" borderId="11" xfId="0" applyFill="1" applyBorder="1"/>
    <xf numFmtId="183" fontId="5" fillId="4" borderId="4" xfId="1" applyNumberFormat="1" applyFont="1" applyFill="1" applyBorder="1"/>
    <xf numFmtId="173" fontId="5" fillId="4" borderId="44" xfId="0" applyNumberFormat="1" applyFont="1" applyFill="1" applyBorder="1"/>
    <xf numFmtId="38" fontId="5" fillId="4" borderId="11" xfId="0" applyFont="1" applyFill="1" applyBorder="1"/>
    <xf numFmtId="173" fontId="4" fillId="4" borderId="9" xfId="0" applyNumberFormat="1" applyFont="1" applyFill="1" applyBorder="1"/>
    <xf numFmtId="173" fontId="4" fillId="4" borderId="11" xfId="0" applyNumberFormat="1" applyFont="1" applyFill="1" applyBorder="1"/>
    <xf numFmtId="173" fontId="4" fillId="4" borderId="8" xfId="0" applyNumberFormat="1" applyFont="1" applyFill="1" applyBorder="1"/>
    <xf numFmtId="173" fontId="4" fillId="4" borderId="27" xfId="0" applyNumberFormat="1" applyFont="1" applyFill="1" applyBorder="1"/>
    <xf numFmtId="183" fontId="4" fillId="4" borderId="31" xfId="1" applyNumberFormat="1" applyFont="1" applyFill="1" applyBorder="1"/>
    <xf numFmtId="173" fontId="4" fillId="4" borderId="13" xfId="0" applyNumberFormat="1" applyFont="1" applyFill="1" applyBorder="1"/>
    <xf numFmtId="173" fontId="5" fillId="4" borderId="25" xfId="0" applyNumberFormat="1" applyFont="1" applyFill="1" applyBorder="1"/>
    <xf numFmtId="173" fontId="5" fillId="4" borderId="4" xfId="0" applyNumberFormat="1" applyFont="1" applyFill="1" applyBorder="1"/>
    <xf numFmtId="183" fontId="5" fillId="4" borderId="30" xfId="1" applyNumberFormat="1" applyFont="1" applyFill="1" applyBorder="1"/>
    <xf numFmtId="173" fontId="4" fillId="4" borderId="4" xfId="0" applyNumberFormat="1" applyFont="1" applyFill="1" applyBorder="1"/>
    <xf numFmtId="183" fontId="5" fillId="4" borderId="56" xfId="1" applyNumberFormat="1" applyFont="1" applyFill="1" applyBorder="1"/>
    <xf numFmtId="173" fontId="5" fillId="4" borderId="53" xfId="0" applyNumberFormat="1" applyFont="1" applyFill="1" applyBorder="1"/>
    <xf numFmtId="173" fontId="5" fillId="4" borderId="55" xfId="0" applyNumberFormat="1" applyFont="1" applyFill="1" applyBorder="1"/>
    <xf numFmtId="183" fontId="5" fillId="4" borderId="55" xfId="1" applyNumberFormat="1" applyFont="1" applyFill="1" applyBorder="1"/>
    <xf numFmtId="173" fontId="5" fillId="4" borderId="54" xfId="0" applyNumberFormat="1" applyFont="1" applyFill="1" applyBorder="1"/>
    <xf numFmtId="173" fontId="5" fillId="4" borderId="56" xfId="0" applyNumberFormat="1" applyFont="1" applyFill="1" applyBorder="1"/>
    <xf numFmtId="173" fontId="5" fillId="4" borderId="43" xfId="0" applyNumberFormat="1" applyFont="1" applyFill="1" applyBorder="1"/>
    <xf numFmtId="183" fontId="5" fillId="4" borderId="44" xfId="1" applyNumberFormat="1" applyFont="1" applyFill="1" applyBorder="1"/>
    <xf numFmtId="173" fontId="5" fillId="4" borderId="10" xfId="0" applyNumberFormat="1" applyFont="1" applyFill="1" applyBorder="1"/>
    <xf numFmtId="38" fontId="5" fillId="4" borderId="3" xfId="0" applyFont="1" applyFill="1" applyBorder="1"/>
    <xf numFmtId="173" fontId="4" fillId="4" borderId="41" xfId="0" applyNumberFormat="1" applyFont="1" applyFill="1" applyBorder="1" applyAlignment="1">
      <alignment horizontal="left"/>
    </xf>
    <xf numFmtId="173" fontId="4" fillId="4" borderId="31" xfId="0" applyNumberFormat="1" applyFont="1" applyFill="1" applyBorder="1"/>
    <xf numFmtId="173" fontId="5" fillId="4" borderId="19" xfId="0" applyNumberFormat="1" applyFont="1" applyFill="1" applyBorder="1"/>
    <xf numFmtId="173" fontId="5" fillId="4" borderId="20" xfId="0" applyNumberFormat="1" applyFont="1" applyFill="1" applyBorder="1"/>
    <xf numFmtId="173" fontId="5" fillId="4" borderId="0" xfId="0" applyNumberFormat="1" applyFont="1" applyFill="1" applyBorder="1"/>
    <xf numFmtId="173" fontId="4" fillId="4" borderId="24" xfId="0" applyNumberFormat="1" applyFont="1" applyFill="1" applyBorder="1" applyAlignment="1">
      <alignment horizontal="center" vertical="center"/>
    </xf>
    <xf numFmtId="173" fontId="4" fillId="4" borderId="7" xfId="0" applyNumberFormat="1" applyFont="1" applyFill="1" applyBorder="1"/>
    <xf numFmtId="173" fontId="4" fillId="4" borderId="5" xfId="0" applyNumberFormat="1" applyFont="1" applyFill="1" applyBorder="1"/>
    <xf numFmtId="173" fontId="4" fillId="4" borderId="6" xfId="0" applyNumberFormat="1" applyFont="1" applyFill="1" applyBorder="1"/>
    <xf numFmtId="38" fontId="19" fillId="0" borderId="0" xfId="0" applyFont="1" applyFill="1" applyAlignment="1" applyProtection="1">
      <alignment vertical="center"/>
      <protection locked="0"/>
    </xf>
    <xf numFmtId="38" fontId="10" fillId="0" borderId="0" xfId="0" applyFont="1" applyFill="1" applyAlignment="1" applyProtection="1">
      <alignment vertical="center"/>
      <protection locked="0"/>
    </xf>
    <xf numFmtId="38" fontId="19" fillId="0" borderId="0" xfId="0" applyFont="1" applyFill="1" applyProtection="1">
      <protection locked="0"/>
    </xf>
    <xf numFmtId="38" fontId="5" fillId="0" borderId="0" xfId="0" applyFont="1" applyFill="1" applyProtection="1">
      <protection locked="0"/>
    </xf>
    <xf numFmtId="38" fontId="0" fillId="0" borderId="0" xfId="0" applyFill="1" applyProtection="1">
      <protection locked="0"/>
    </xf>
    <xf numFmtId="38" fontId="18" fillId="4" borderId="16" xfId="0" applyFont="1" applyFill="1" applyBorder="1" applyAlignment="1" applyProtection="1">
      <alignment horizontal="center" vertical="center"/>
    </xf>
    <xf numFmtId="38" fontId="19" fillId="4" borderId="17" xfId="0" applyFont="1" applyFill="1" applyBorder="1" applyAlignment="1">
      <alignment vertical="center"/>
    </xf>
    <xf numFmtId="170" fontId="9" fillId="4" borderId="12" xfId="0" applyNumberFormat="1" applyFont="1" applyFill="1" applyBorder="1" applyAlignment="1" applyProtection="1">
      <alignment horizontal="center" vertical="center"/>
    </xf>
    <xf numFmtId="170" fontId="9" fillId="4" borderId="29" xfId="0" applyNumberFormat="1" applyFont="1" applyFill="1" applyBorder="1" applyAlignment="1" applyProtection="1">
      <alignment horizontal="center" vertical="center"/>
    </xf>
    <xf numFmtId="170" fontId="9" fillId="4" borderId="28" xfId="0" applyNumberFormat="1" applyFont="1" applyFill="1" applyBorder="1" applyAlignment="1" applyProtection="1">
      <alignment horizontal="center" vertical="center"/>
    </xf>
    <xf numFmtId="38" fontId="9" fillId="4" borderId="42" xfId="0" applyFont="1" applyFill="1" applyBorder="1" applyAlignment="1" applyProtection="1">
      <alignment horizontal="center"/>
    </xf>
    <xf numFmtId="38" fontId="8" fillId="4" borderId="48" xfId="0" applyFont="1" applyFill="1" applyBorder="1" applyAlignment="1" applyProtection="1">
      <alignment horizontal="center" vertical="center" wrapText="1"/>
    </xf>
    <xf numFmtId="38" fontId="4" fillId="4" borderId="38" xfId="0" applyFont="1" applyFill="1" applyBorder="1" applyAlignment="1" applyProtection="1">
      <alignment horizontal="center"/>
    </xf>
    <xf numFmtId="38" fontId="4" fillId="4" borderId="39" xfId="0" applyFont="1" applyFill="1" applyBorder="1" applyAlignment="1" applyProtection="1">
      <alignment horizontal="center"/>
    </xf>
    <xf numFmtId="2" fontId="4" fillId="4" borderId="48" xfId="0" applyNumberFormat="1" applyFont="1" applyFill="1" applyBorder="1" applyAlignment="1" applyProtection="1">
      <alignment horizontal="center" vertical="center" wrapText="1"/>
    </xf>
    <xf numFmtId="170" fontId="9" fillId="4" borderId="38" xfId="0" applyNumberFormat="1" applyFont="1" applyFill="1" applyBorder="1" applyAlignment="1" applyProtection="1">
      <alignment horizontal="center"/>
    </xf>
    <xf numFmtId="170" fontId="9" fillId="4" borderId="39" xfId="0" applyNumberFormat="1" applyFont="1" applyFill="1" applyBorder="1" applyAlignment="1" applyProtection="1">
      <alignment horizontal="center"/>
    </xf>
    <xf numFmtId="170" fontId="9" fillId="4" borderId="48" xfId="0" applyNumberFormat="1" applyFont="1" applyFill="1" applyBorder="1" applyAlignment="1" applyProtection="1">
      <alignment horizontal="center"/>
    </xf>
    <xf numFmtId="4" fontId="4" fillId="4" borderId="42" xfId="0" applyNumberFormat="1" applyFont="1" applyFill="1" applyBorder="1"/>
    <xf numFmtId="4" fontId="5" fillId="4" borderId="0" xfId="0" applyNumberFormat="1" applyFont="1" applyFill="1" applyBorder="1"/>
    <xf numFmtId="38" fontId="5" fillId="4" borderId="20" xfId="0" applyFont="1" applyFill="1" applyBorder="1"/>
    <xf numFmtId="167" fontId="5" fillId="4" borderId="39" xfId="0" applyNumberFormat="1" applyFont="1" applyFill="1" applyBorder="1"/>
    <xf numFmtId="38" fontId="5" fillId="4" borderId="48" xfId="0" applyFont="1" applyFill="1" applyBorder="1"/>
    <xf numFmtId="167" fontId="4" fillId="4" borderId="21" xfId="0" applyNumberFormat="1" applyFont="1" applyFill="1" applyBorder="1"/>
    <xf numFmtId="38" fontId="4" fillId="4" borderId="23" xfId="0" applyFont="1" applyFill="1" applyBorder="1"/>
    <xf numFmtId="167" fontId="4" fillId="4" borderId="19" xfId="0" applyNumberFormat="1" applyFont="1" applyFill="1" applyBorder="1"/>
    <xf numFmtId="167" fontId="5" fillId="4" borderId="10" xfId="0" applyNumberFormat="1" applyFont="1" applyFill="1" applyBorder="1"/>
    <xf numFmtId="167" fontId="5" fillId="4" borderId="0" xfId="0" applyNumberFormat="1" applyFont="1" applyFill="1" applyBorder="1"/>
    <xf numFmtId="38" fontId="5" fillId="4" borderId="41" xfId="0" applyFont="1" applyFill="1" applyBorder="1"/>
    <xf numFmtId="167" fontId="5" fillId="4" borderId="42" xfId="0" applyNumberFormat="1" applyFont="1" applyFill="1" applyBorder="1"/>
    <xf numFmtId="38" fontId="5" fillId="4" borderId="42" xfId="0" applyFont="1" applyFill="1" applyBorder="1"/>
    <xf numFmtId="167" fontId="5" fillId="4" borderId="19" xfId="0" applyNumberFormat="1" applyFont="1" applyFill="1" applyBorder="1"/>
    <xf numFmtId="167" fontId="4" fillId="4" borderId="24" xfId="0" applyNumberFormat="1" applyFont="1" applyFill="1" applyBorder="1"/>
    <xf numFmtId="38" fontId="4" fillId="4" borderId="25" xfId="0" applyFont="1" applyFill="1" applyBorder="1"/>
    <xf numFmtId="38" fontId="5" fillId="4" borderId="26" xfId="0" applyFont="1" applyFill="1" applyBorder="1"/>
    <xf numFmtId="174" fontId="4" fillId="4" borderId="6" xfId="0" applyNumberFormat="1" applyFont="1" applyFill="1" applyBorder="1"/>
    <xf numFmtId="169" fontId="5" fillId="4" borderId="0" xfId="0" applyNumberFormat="1" applyFont="1" applyFill="1"/>
    <xf numFmtId="173" fontId="18" fillId="4" borderId="16" xfId="0" applyNumberFormat="1" applyFont="1" applyFill="1" applyBorder="1" applyAlignment="1" applyProtection="1">
      <alignment horizontal="center" vertical="center"/>
      <protection locked="0"/>
    </xf>
    <xf numFmtId="173" fontId="18" fillId="4" borderId="18" xfId="0" applyNumberFormat="1" applyFont="1" applyFill="1" applyBorder="1" applyAlignment="1" applyProtection="1">
      <alignment horizontal="center" vertical="center"/>
      <protection locked="0"/>
    </xf>
    <xf numFmtId="173" fontId="19" fillId="4" borderId="18" xfId="0" applyNumberFormat="1" applyFont="1" applyFill="1" applyBorder="1" applyAlignment="1" applyProtection="1">
      <alignment vertical="center"/>
      <protection locked="0"/>
    </xf>
    <xf numFmtId="38" fontId="10" fillId="4" borderId="19" xfId="0" applyNumberFormat="1" applyFont="1" applyFill="1" applyBorder="1" applyAlignment="1" applyProtection="1">
      <alignment vertical="center"/>
      <protection locked="0"/>
    </xf>
    <xf numFmtId="38" fontId="10" fillId="4" borderId="0" xfId="0" applyNumberFormat="1" applyFont="1" applyFill="1" applyBorder="1" applyAlignment="1" applyProtection="1">
      <alignment vertical="center"/>
      <protection locked="0"/>
    </xf>
    <xf numFmtId="38" fontId="10" fillId="4" borderId="20" xfId="0" applyFont="1" applyFill="1" applyBorder="1" applyAlignment="1" applyProtection="1">
      <alignment vertical="center"/>
      <protection locked="0"/>
    </xf>
    <xf numFmtId="38" fontId="10" fillId="4" borderId="19" xfId="0" applyFont="1" applyFill="1" applyBorder="1" applyAlignment="1" applyProtection="1">
      <alignment vertical="center"/>
      <protection locked="0"/>
    </xf>
    <xf numFmtId="173" fontId="19" fillId="4" borderId="20" xfId="0" applyNumberFormat="1" applyFont="1" applyFill="1" applyBorder="1" applyAlignment="1" applyProtection="1">
      <alignment vertical="center"/>
      <protection locked="0"/>
    </xf>
    <xf numFmtId="173" fontId="19" fillId="4" borderId="19" xfId="0" applyNumberFormat="1" applyFont="1" applyFill="1" applyBorder="1" applyAlignment="1" applyProtection="1">
      <alignment vertical="center"/>
      <protection locked="0"/>
    </xf>
    <xf numFmtId="173" fontId="19" fillId="4" borderId="0" xfId="0" applyNumberFormat="1" applyFont="1" applyFill="1" applyBorder="1" applyAlignment="1" applyProtection="1">
      <alignment vertical="center"/>
      <protection locked="0"/>
    </xf>
    <xf numFmtId="173" fontId="5" fillId="4" borderId="0" xfId="0" applyNumberFormat="1" applyFont="1" applyFill="1" applyProtection="1">
      <protection locked="0"/>
    </xf>
    <xf numFmtId="186" fontId="5" fillId="4" borderId="0" xfId="0" applyNumberFormat="1" applyFont="1" applyFill="1" applyProtection="1">
      <protection locked="0"/>
    </xf>
    <xf numFmtId="173" fontId="13" fillId="4" borderId="0" xfId="0" applyNumberFormat="1" applyFont="1" applyFill="1" applyAlignment="1" applyProtection="1">
      <alignment horizontal="center"/>
      <protection locked="0"/>
    </xf>
    <xf numFmtId="174" fontId="5" fillId="4" borderId="0" xfId="0" applyNumberFormat="1" applyFont="1" applyFill="1" applyProtection="1">
      <protection locked="0"/>
    </xf>
    <xf numFmtId="38" fontId="0" fillId="4" borderId="0" xfId="0" applyFill="1" applyProtection="1">
      <protection locked="0"/>
    </xf>
    <xf numFmtId="38" fontId="5" fillId="4" borderId="0" xfId="0" applyFont="1" applyFill="1" applyProtection="1">
      <protection locked="0"/>
    </xf>
    <xf numFmtId="169" fontId="5" fillId="4" borderId="0" xfId="0" applyNumberFormat="1" applyFont="1" applyFill="1" applyProtection="1">
      <protection locked="0"/>
    </xf>
    <xf numFmtId="173" fontId="5" fillId="0" borderId="9" xfId="0" applyNumberFormat="1" applyFont="1" applyFill="1" applyBorder="1"/>
    <xf numFmtId="173" fontId="5" fillId="0" borderId="13" xfId="0" applyNumberFormat="1" applyFont="1" applyFill="1" applyBorder="1"/>
    <xf numFmtId="44" fontId="36" fillId="5" borderId="0" xfId="10" applyNumberFormat="1" applyFill="1"/>
    <xf numFmtId="44" fontId="24" fillId="5" borderId="0" xfId="10" applyNumberFormat="1" applyFont="1" applyFill="1"/>
    <xf numFmtId="38" fontId="13" fillId="4" borderId="0" xfId="0" applyFont="1" applyFill="1" applyBorder="1" applyAlignment="1">
      <alignment horizontal="center"/>
    </xf>
    <xf numFmtId="38" fontId="5" fillId="4" borderId="0" xfId="0" applyFont="1" applyFill="1" applyBorder="1" applyAlignment="1">
      <alignment horizontal="center"/>
    </xf>
    <xf numFmtId="10" fontId="5" fillId="4" borderId="0" xfId="0" applyNumberFormat="1" applyFont="1" applyFill="1" applyBorder="1" applyAlignment="1">
      <alignment horizontal="center"/>
    </xf>
    <xf numFmtId="173" fontId="5" fillId="4" borderId="13" xfId="0" applyNumberFormat="1" applyFont="1" applyFill="1" applyBorder="1" applyAlignment="1" applyProtection="1">
      <alignment horizontal="center"/>
      <protection locked="0" hidden="1"/>
    </xf>
    <xf numFmtId="173" fontId="4" fillId="4" borderId="14" xfId="0" applyNumberFormat="1" applyFont="1" applyFill="1" applyBorder="1" applyProtection="1">
      <protection locked="0"/>
    </xf>
    <xf numFmtId="173" fontId="4" fillId="4" borderId="1" xfId="0" applyNumberFormat="1" applyFont="1" applyFill="1" applyBorder="1" applyProtection="1">
      <protection locked="0"/>
    </xf>
    <xf numFmtId="173" fontId="4" fillId="4" borderId="15" xfId="0" applyNumberFormat="1" applyFont="1" applyFill="1" applyBorder="1" applyProtection="1">
      <protection locked="0"/>
    </xf>
    <xf numFmtId="38" fontId="30" fillId="4" borderId="24" xfId="0" applyFont="1" applyFill="1" applyBorder="1" applyAlignment="1" applyProtection="1">
      <alignment horizontal="center" vertical="center" wrapText="1"/>
    </xf>
    <xf numFmtId="38" fontId="30" fillId="4" borderId="25" xfId="0" applyFont="1" applyFill="1" applyBorder="1" applyAlignment="1" applyProtection="1">
      <alignment horizontal="center" vertical="center" wrapText="1"/>
    </xf>
    <xf numFmtId="38" fontId="24" fillId="4" borderId="25" xfId="0" applyFont="1" applyFill="1" applyBorder="1" applyAlignment="1">
      <alignment horizontal="center"/>
    </xf>
    <xf numFmtId="170" fontId="24" fillId="4" borderId="25" xfId="0" applyNumberFormat="1" applyFont="1" applyFill="1" applyBorder="1" applyAlignment="1" applyProtection="1">
      <alignment horizontal="center"/>
    </xf>
    <xf numFmtId="170" fontId="24" fillId="4" borderId="26" xfId="0" applyNumberFormat="1" applyFont="1" applyFill="1" applyBorder="1" applyAlignment="1" applyProtection="1">
      <alignment horizontal="center"/>
    </xf>
    <xf numFmtId="38" fontId="3" fillId="0" borderId="4" xfId="0" applyFont="1" applyFill="1" applyBorder="1"/>
    <xf numFmtId="170" fontId="24" fillId="4" borderId="13" xfId="0" applyNumberFormat="1" applyFont="1" applyFill="1" applyBorder="1" applyAlignment="1">
      <alignment horizontal="center" vertical="center"/>
    </xf>
    <xf numFmtId="173" fontId="3" fillId="4" borderId="20" xfId="0" applyNumberFormat="1" applyFont="1" applyFill="1" applyBorder="1"/>
    <xf numFmtId="174" fontId="3" fillId="4" borderId="2" xfId="0" applyNumberFormat="1" applyFont="1" applyFill="1" applyBorder="1"/>
    <xf numFmtId="174" fontId="3" fillId="4" borderId="27" xfId="0" applyNumberFormat="1" applyFont="1" applyFill="1" applyBorder="1" applyProtection="1">
      <protection locked="0"/>
    </xf>
    <xf numFmtId="174" fontId="3" fillId="4" borderId="13" xfId="0" applyNumberFormat="1" applyFont="1" applyFill="1" applyBorder="1" applyProtection="1">
      <protection locked="0"/>
    </xf>
    <xf numFmtId="0" fontId="3" fillId="0" borderId="10" xfId="2" applyFont="1" applyFill="1" applyBorder="1"/>
    <xf numFmtId="173" fontId="5" fillId="0" borderId="30" xfId="0" applyNumberFormat="1" applyFont="1" applyFill="1" applyBorder="1" applyProtection="1">
      <protection locked="0"/>
    </xf>
    <xf numFmtId="0" fontId="3" fillId="0" borderId="0" xfId="2" applyFont="1"/>
    <xf numFmtId="166" fontId="3" fillId="4" borderId="9" xfId="2" applyNumberFormat="1" applyFont="1" applyFill="1" applyBorder="1" applyAlignment="1">
      <alignment horizontal="center"/>
    </xf>
    <xf numFmtId="169" fontId="3" fillId="0" borderId="10" xfId="2" applyNumberFormat="1" applyFont="1" applyFill="1" applyBorder="1"/>
    <xf numFmtId="169" fontId="3" fillId="0" borderId="67" xfId="2" applyNumberFormat="1" applyFont="1" applyFill="1" applyBorder="1"/>
    <xf numFmtId="179" fontId="3" fillId="0" borderId="10" xfId="2" applyNumberFormat="1" applyFont="1" applyFill="1" applyBorder="1"/>
    <xf numFmtId="0" fontId="3" fillId="0" borderId="9" xfId="2" applyFont="1" applyBorder="1"/>
    <xf numFmtId="9" fontId="3" fillId="0" borderId="0" xfId="3" applyFont="1"/>
    <xf numFmtId="9" fontId="3" fillId="0" borderId="9" xfId="3" applyFont="1" applyBorder="1"/>
    <xf numFmtId="169" fontId="3" fillId="0" borderId="9" xfId="1" applyNumberFormat="1" applyFont="1" applyBorder="1"/>
    <xf numFmtId="169" fontId="3" fillId="0" borderId="9" xfId="2" applyNumberFormat="1" applyFont="1" applyBorder="1"/>
    <xf numFmtId="169" fontId="3" fillId="0" borderId="9" xfId="2" applyNumberFormat="1" applyBorder="1"/>
    <xf numFmtId="166" fontId="3" fillId="0" borderId="9" xfId="3" applyNumberFormat="1" applyFont="1" applyBorder="1"/>
    <xf numFmtId="38" fontId="9" fillId="4" borderId="56" xfId="0" applyFont="1" applyFill="1" applyBorder="1" applyAlignment="1">
      <alignment horizontal="center" vertical="center"/>
    </xf>
    <xf numFmtId="38" fontId="9" fillId="4" borderId="29" xfId="0" applyFont="1" applyFill="1" applyBorder="1" applyAlignment="1">
      <alignment horizontal="center" vertical="center"/>
    </xf>
    <xf numFmtId="38" fontId="9" fillId="4" borderId="9" xfId="0" applyFont="1" applyFill="1" applyBorder="1" applyAlignment="1">
      <alignment horizontal="center" vertical="center"/>
    </xf>
    <xf numFmtId="38" fontId="9" fillId="4" borderId="18" xfId="0" applyFont="1" applyFill="1" applyBorder="1" applyAlignment="1">
      <alignment horizontal="center" vertical="center"/>
    </xf>
    <xf numFmtId="9" fontId="3" fillId="0" borderId="9" xfId="3" applyFont="1" applyFill="1" applyBorder="1"/>
    <xf numFmtId="169" fontId="3" fillId="0" borderId="9" xfId="1" applyNumberFormat="1" applyFont="1" applyFill="1" applyBorder="1"/>
    <xf numFmtId="169" fontId="3" fillId="0" borderId="9" xfId="2" applyNumberFormat="1" applyFont="1" applyFill="1" applyBorder="1"/>
    <xf numFmtId="169" fontId="3" fillId="0" borderId="9" xfId="2" applyNumberFormat="1" applyFill="1" applyBorder="1"/>
    <xf numFmtId="166" fontId="3" fillId="0" borderId="9" xfId="3" applyNumberFormat="1" applyFont="1" applyFill="1" applyBorder="1"/>
    <xf numFmtId="0" fontId="3" fillId="0" borderId="0" xfId="2" applyFill="1"/>
    <xf numFmtId="0" fontId="3" fillId="0" borderId="9" xfId="2" applyFont="1" applyFill="1" applyBorder="1"/>
    <xf numFmtId="38" fontId="5" fillId="4" borderId="21" xfId="0" applyFont="1" applyFill="1" applyBorder="1" applyProtection="1">
      <protection hidden="1"/>
    </xf>
    <xf numFmtId="38" fontId="5" fillId="4" borderId="23" xfId="0" applyFont="1" applyFill="1" applyBorder="1" applyProtection="1">
      <protection hidden="1"/>
    </xf>
    <xf numFmtId="173" fontId="5" fillId="4" borderId="8" xfId="0" applyNumberFormat="1" applyFont="1" applyFill="1" applyBorder="1" applyProtection="1">
      <protection hidden="1"/>
    </xf>
    <xf numFmtId="173" fontId="9" fillId="4" borderId="53" xfId="0" applyNumberFormat="1" applyFont="1" applyFill="1" applyBorder="1" applyAlignment="1" applyProtection="1">
      <alignment horizontal="center" vertical="center"/>
      <protection hidden="1"/>
    </xf>
    <xf numFmtId="173" fontId="9" fillId="4" borderId="56" xfId="0" applyNumberFormat="1" applyFont="1" applyFill="1" applyBorder="1" applyAlignment="1" applyProtection="1">
      <alignment horizontal="center" vertical="center"/>
      <protection hidden="1"/>
    </xf>
    <xf numFmtId="9" fontId="3" fillId="0" borderId="9" xfId="3" applyFont="1" applyFill="1" applyBorder="1" applyAlignment="1">
      <alignment horizontal="center"/>
    </xf>
    <xf numFmtId="173" fontId="4" fillId="4" borderId="72" xfId="0" applyNumberFormat="1" applyFont="1" applyFill="1" applyBorder="1" applyProtection="1">
      <protection hidden="1"/>
    </xf>
    <xf numFmtId="173" fontId="4" fillId="4" borderId="30" xfId="0" applyNumberFormat="1" applyFont="1" applyFill="1" applyBorder="1" applyProtection="1">
      <protection hidden="1"/>
    </xf>
    <xf numFmtId="173" fontId="4" fillId="4" borderId="45" xfId="0" applyNumberFormat="1" applyFont="1" applyFill="1" applyBorder="1" applyProtection="1">
      <protection hidden="1"/>
    </xf>
    <xf numFmtId="173" fontId="5" fillId="4" borderId="23" xfId="0" applyNumberFormat="1" applyFont="1" applyFill="1" applyBorder="1" applyProtection="1">
      <protection hidden="1"/>
    </xf>
    <xf numFmtId="170" fontId="9" fillId="4" borderId="12" xfId="0" applyNumberFormat="1" applyFont="1" applyFill="1" applyBorder="1" applyAlignment="1" applyProtection="1">
      <alignment horizontal="center" vertical="center"/>
      <protection hidden="1"/>
    </xf>
    <xf numFmtId="173" fontId="9" fillId="4" borderId="54" xfId="0" applyNumberFormat="1" applyFont="1" applyFill="1" applyBorder="1" applyAlignment="1" applyProtection="1">
      <alignment horizontal="center" vertical="center"/>
      <protection hidden="1"/>
    </xf>
    <xf numFmtId="1" fontId="9" fillId="4" borderId="53" xfId="0" applyNumberFormat="1" applyFont="1" applyFill="1" applyBorder="1" applyAlignment="1" applyProtection="1">
      <alignment horizontal="center" vertical="center"/>
      <protection hidden="1"/>
    </xf>
    <xf numFmtId="1" fontId="9" fillId="4" borderId="56" xfId="0" applyNumberFormat="1" applyFont="1" applyFill="1" applyBorder="1" applyAlignment="1" applyProtection="1">
      <alignment horizontal="center" vertical="center"/>
      <protection hidden="1"/>
    </xf>
    <xf numFmtId="1" fontId="9" fillId="4" borderId="55" xfId="0" applyNumberFormat="1" applyFont="1" applyFill="1" applyBorder="1" applyAlignment="1" applyProtection="1">
      <alignment horizontal="center" vertical="center"/>
      <protection hidden="1"/>
    </xf>
    <xf numFmtId="174" fontId="5" fillId="0" borderId="3" xfId="0" applyNumberFormat="1" applyFont="1" applyFill="1" applyBorder="1"/>
    <xf numFmtId="38" fontId="4" fillId="4" borderId="21" xfId="0" applyFont="1" applyFill="1" applyBorder="1"/>
    <xf numFmtId="38" fontId="4" fillId="4" borderId="23" xfId="0" applyFont="1" applyFill="1" applyBorder="1" applyProtection="1">
      <protection locked="0"/>
    </xf>
    <xf numFmtId="174" fontId="4" fillId="4" borderId="23" xfId="0" applyNumberFormat="1" applyFont="1" applyFill="1" applyBorder="1"/>
    <xf numFmtId="38" fontId="5" fillId="0" borderId="9" xfId="0" applyNumberFormat="1" applyFont="1" applyFill="1" applyBorder="1"/>
    <xf numFmtId="173" fontId="5" fillId="4" borderId="4" xfId="0" applyNumberFormat="1" applyFont="1" applyFill="1" applyBorder="1" applyProtection="1">
      <protection locked="0"/>
    </xf>
    <xf numFmtId="183" fontId="0" fillId="4" borderId="9" xfId="0" applyNumberFormat="1" applyFill="1" applyBorder="1"/>
    <xf numFmtId="183" fontId="4" fillId="4" borderId="72" xfId="1" applyNumberFormat="1" applyFont="1" applyFill="1" applyBorder="1" applyProtection="1"/>
    <xf numFmtId="183" fontId="4" fillId="4" borderId="30" xfId="1" applyNumberFormat="1" applyFont="1" applyFill="1" applyBorder="1" applyProtection="1"/>
    <xf numFmtId="183" fontId="4" fillId="4" borderId="45" xfId="1" applyNumberFormat="1" applyFont="1" applyFill="1" applyBorder="1" applyProtection="1"/>
    <xf numFmtId="183" fontId="5" fillId="4" borderId="28" xfId="1" applyNumberFormat="1" applyFont="1" applyFill="1" applyBorder="1" applyAlignment="1">
      <alignment horizontal="right"/>
    </xf>
    <xf numFmtId="183" fontId="5" fillId="4" borderId="13" xfId="1" applyNumberFormat="1" applyFont="1" applyFill="1" applyBorder="1" applyAlignment="1">
      <alignment horizontal="right"/>
    </xf>
    <xf numFmtId="173" fontId="5" fillId="0" borderId="30" xfId="0" applyNumberFormat="1" applyFont="1" applyFill="1" applyBorder="1" applyProtection="1"/>
    <xf numFmtId="38" fontId="25" fillId="4" borderId="12" xfId="0" applyFont="1" applyFill="1" applyBorder="1" applyAlignment="1">
      <alignment vertical="center"/>
    </xf>
    <xf numFmtId="38" fontId="5" fillId="0" borderId="72" xfId="0" applyNumberFormat="1" applyFont="1" applyFill="1" applyBorder="1"/>
    <xf numFmtId="38" fontId="5" fillId="0" borderId="0" xfId="0" applyFont="1" applyFill="1" applyBorder="1"/>
    <xf numFmtId="173" fontId="5" fillId="0" borderId="45" xfId="0" applyNumberFormat="1" applyFont="1" applyFill="1" applyBorder="1" applyProtection="1">
      <protection locked="0"/>
    </xf>
    <xf numFmtId="38" fontId="26" fillId="4" borderId="3" xfId="0" applyFont="1" applyFill="1" applyBorder="1" applyProtection="1"/>
    <xf numFmtId="174" fontId="4" fillId="4" borderId="14" xfId="0" applyNumberFormat="1" applyFont="1" applyFill="1" applyBorder="1" applyProtection="1">
      <protection locked="0"/>
    </xf>
    <xf numFmtId="38" fontId="18" fillId="4" borderId="0" xfId="0" applyFont="1" applyFill="1" applyBorder="1" applyAlignment="1">
      <alignment horizontal="center" vertical="center"/>
    </xf>
    <xf numFmtId="38" fontId="9" fillId="4" borderId="54" xfId="0" applyFont="1" applyFill="1" applyBorder="1" applyAlignment="1">
      <alignment horizontal="center" vertical="center"/>
    </xf>
    <xf numFmtId="172" fontId="5" fillId="4" borderId="27" xfId="0" applyNumberFormat="1" applyFont="1" applyFill="1" applyBorder="1"/>
    <xf numFmtId="38" fontId="23" fillId="0" borderId="3" xfId="0" applyFont="1" applyFill="1" applyBorder="1" applyAlignment="1">
      <alignment horizontal="left"/>
    </xf>
    <xf numFmtId="188" fontId="23" fillId="3" borderId="9" xfId="1" applyNumberFormat="1" applyFont="1" applyFill="1" applyBorder="1" applyAlignment="1">
      <alignment horizontal="center"/>
    </xf>
    <xf numFmtId="183" fontId="23" fillId="3" borderId="9" xfId="1" applyNumberFormat="1" applyFont="1" applyFill="1" applyBorder="1" applyAlignment="1">
      <alignment horizontal="right"/>
    </xf>
    <xf numFmtId="183" fontId="23" fillId="3" borderId="9" xfId="1" applyNumberFormat="1" applyFont="1" applyFill="1" applyBorder="1" applyAlignment="1">
      <alignment horizontal="center"/>
    </xf>
    <xf numFmtId="172" fontId="5" fillId="4" borderId="29" xfId="0" applyNumberFormat="1" applyFont="1" applyFill="1" applyBorder="1" applyProtection="1">
      <protection locked="0"/>
    </xf>
    <xf numFmtId="173" fontId="5" fillId="4" borderId="29" xfId="0" applyNumberFormat="1" applyFont="1" applyFill="1" applyBorder="1" applyProtection="1">
      <protection locked="0"/>
    </xf>
    <xf numFmtId="173" fontId="5" fillId="4" borderId="9" xfId="0" applyNumberFormat="1" applyFont="1" applyFill="1" applyBorder="1" applyProtection="1">
      <protection locked="0"/>
    </xf>
    <xf numFmtId="173" fontId="5" fillId="4" borderId="13" xfId="0" applyNumberFormat="1" applyFont="1" applyFill="1" applyBorder="1" applyProtection="1">
      <protection locked="0"/>
    </xf>
    <xf numFmtId="183" fontId="5" fillId="4" borderId="1" xfId="1" applyNumberFormat="1" applyFont="1" applyFill="1" applyBorder="1" applyProtection="1"/>
    <xf numFmtId="183" fontId="5" fillId="4" borderId="14" xfId="1" applyNumberFormat="1" applyFont="1" applyFill="1" applyBorder="1" applyProtection="1"/>
    <xf numFmtId="183" fontId="5" fillId="4" borderId="33" xfId="1" applyNumberFormat="1" applyFont="1" applyFill="1" applyBorder="1" applyProtection="1"/>
    <xf numFmtId="183" fontId="5" fillId="4" borderId="15" xfId="1" applyNumberFormat="1" applyFont="1" applyFill="1" applyBorder="1" applyProtection="1"/>
    <xf numFmtId="183" fontId="5" fillId="4" borderId="8" xfId="1" applyNumberFormat="1" applyFont="1" applyFill="1" applyBorder="1" applyAlignment="1" applyProtection="1">
      <alignment horizontal="right"/>
    </xf>
    <xf numFmtId="183" fontId="5" fillId="4" borderId="13" xfId="1" applyNumberFormat="1" applyFont="1" applyFill="1" applyBorder="1" applyAlignment="1" applyProtection="1">
      <alignment horizontal="right"/>
    </xf>
    <xf numFmtId="183" fontId="5" fillId="4" borderId="27" xfId="1" applyNumberFormat="1" applyFont="1" applyFill="1" applyBorder="1" applyAlignment="1" applyProtection="1">
      <alignment horizontal="right"/>
    </xf>
    <xf numFmtId="174" fontId="3" fillId="0" borderId="11" xfId="0" applyNumberFormat="1" applyFont="1" applyFill="1" applyBorder="1" applyProtection="1">
      <protection locked="0"/>
    </xf>
    <xf numFmtId="174" fontId="3" fillId="0" borderId="8" xfId="0" applyNumberFormat="1" applyFont="1" applyFill="1" applyBorder="1" applyProtection="1">
      <protection locked="0"/>
    </xf>
    <xf numFmtId="174" fontId="3" fillId="0" borderId="13" xfId="0" applyNumberFormat="1" applyFont="1" applyFill="1" applyBorder="1" applyProtection="1">
      <protection locked="0"/>
    </xf>
    <xf numFmtId="174" fontId="24" fillId="4" borderId="34" xfId="0" applyNumberFormat="1" applyFont="1" applyFill="1" applyBorder="1" applyAlignment="1">
      <alignment horizontal="left"/>
    </xf>
    <xf numFmtId="174" fontId="3" fillId="0" borderId="3" xfId="0" applyNumberFormat="1" applyFont="1" applyFill="1" applyBorder="1"/>
    <xf numFmtId="38" fontId="3" fillId="0" borderId="9" xfId="0" applyFont="1" applyFill="1" applyBorder="1"/>
    <xf numFmtId="174" fontId="3" fillId="0" borderId="9" xfId="0" applyNumberFormat="1" applyFont="1" applyFill="1" applyBorder="1" applyProtection="1">
      <protection locked="0"/>
    </xf>
    <xf numFmtId="174" fontId="5" fillId="0" borderId="3" xfId="0" applyNumberFormat="1" applyFont="1" applyFill="1" applyBorder="1" applyProtection="1">
      <protection locked="0"/>
    </xf>
    <xf numFmtId="174" fontId="5" fillId="0" borderId="14" xfId="0" applyNumberFormat="1" applyFont="1" applyFill="1" applyBorder="1" applyProtection="1">
      <protection locked="0"/>
    </xf>
    <xf numFmtId="174" fontId="5" fillId="0" borderId="11" xfId="0" applyNumberFormat="1" applyFont="1" applyFill="1" applyBorder="1" applyProtection="1">
      <protection locked="0"/>
    </xf>
    <xf numFmtId="174" fontId="5" fillId="0" borderId="4" xfId="0" applyNumberFormat="1" applyFont="1" applyFill="1" applyBorder="1" applyProtection="1">
      <protection locked="0"/>
    </xf>
    <xf numFmtId="174" fontId="5" fillId="0" borderId="14" xfId="0" applyNumberFormat="1" applyFont="1" applyFill="1" applyBorder="1"/>
    <xf numFmtId="174" fontId="5" fillId="0" borderId="15" xfId="0" applyNumberFormat="1" applyFont="1" applyFill="1" applyBorder="1"/>
    <xf numFmtId="174" fontId="3" fillId="0" borderId="28" xfId="0" applyNumberFormat="1" applyFont="1" applyFill="1" applyBorder="1" applyProtection="1">
      <protection locked="0"/>
    </xf>
    <xf numFmtId="174" fontId="3" fillId="0" borderId="52" xfId="0" applyNumberFormat="1" applyFont="1" applyFill="1" applyBorder="1" applyProtection="1">
      <protection locked="0"/>
    </xf>
    <xf numFmtId="174" fontId="3" fillId="0" borderId="11" xfId="1" applyNumberFormat="1" applyFont="1" applyFill="1" applyBorder="1"/>
    <xf numFmtId="174" fontId="3" fillId="0" borderId="27" xfId="0" applyNumberFormat="1" applyFont="1" applyFill="1" applyBorder="1" applyProtection="1">
      <protection locked="0"/>
    </xf>
    <xf numFmtId="174" fontId="3" fillId="0" borderId="4" xfId="0" applyNumberFormat="1" applyFont="1" applyFill="1" applyBorder="1" applyProtection="1">
      <protection locked="0"/>
    </xf>
    <xf numFmtId="173" fontId="5" fillId="4" borderId="34" xfId="0" applyNumberFormat="1" applyFont="1" applyFill="1" applyBorder="1" applyAlignment="1">
      <alignment horizontal="left" vertical="center"/>
    </xf>
    <xf numFmtId="183" fontId="5" fillId="4" borderId="9" xfId="1" applyNumberFormat="1" applyFont="1" applyFill="1" applyBorder="1" applyAlignment="1">
      <alignment horizontal="center" vertical="center"/>
    </xf>
    <xf numFmtId="183" fontId="5" fillId="4" borderId="9" xfId="1" applyNumberFormat="1" applyFont="1" applyFill="1" applyBorder="1" applyAlignment="1">
      <alignment horizontal="right" vertical="center"/>
    </xf>
    <xf numFmtId="183" fontId="5" fillId="4" borderId="65" xfId="1" applyNumberFormat="1" applyFont="1" applyFill="1" applyBorder="1"/>
    <xf numFmtId="173" fontId="5" fillId="4" borderId="9" xfId="0" applyNumberFormat="1" applyFont="1" applyFill="1" applyBorder="1" applyAlignment="1">
      <alignment horizontal="center" vertical="center"/>
    </xf>
    <xf numFmtId="173" fontId="5" fillId="4" borderId="30" xfId="0" applyNumberFormat="1" applyFont="1" applyFill="1" applyBorder="1" applyAlignment="1">
      <alignment horizontal="center" vertical="center"/>
    </xf>
    <xf numFmtId="173" fontId="5" fillId="4" borderId="76" xfId="0" applyNumberFormat="1" applyFont="1" applyFill="1" applyBorder="1"/>
    <xf numFmtId="173" fontId="4" fillId="4" borderId="45" xfId="0" applyNumberFormat="1" applyFont="1" applyFill="1" applyBorder="1"/>
    <xf numFmtId="173" fontId="5" fillId="4" borderId="11" xfId="0" applyNumberFormat="1" applyFont="1" applyFill="1" applyBorder="1" applyAlignment="1">
      <alignment horizontal="center" vertical="center"/>
    </xf>
    <xf numFmtId="173" fontId="5" fillId="4" borderId="3" xfId="0" applyNumberFormat="1" applyFont="1" applyFill="1" applyBorder="1" applyAlignment="1">
      <alignment horizontal="right" vertical="center"/>
    </xf>
    <xf numFmtId="174" fontId="3" fillId="0" borderId="4" xfId="0" applyNumberFormat="1" applyFont="1" applyFill="1" applyBorder="1"/>
    <xf numFmtId="174" fontId="24" fillId="0" borderId="9" xfId="0" applyNumberFormat="1" applyFont="1" applyFill="1" applyBorder="1" applyAlignment="1">
      <alignment horizontal="center"/>
    </xf>
    <xf numFmtId="174" fontId="3" fillId="0" borderId="9" xfId="0" applyNumberFormat="1" applyFont="1" applyFill="1" applyBorder="1" applyAlignment="1">
      <alignment horizontal="right"/>
    </xf>
    <xf numFmtId="174" fontId="3" fillId="0" borderId="29" xfId="0" applyNumberFormat="1" applyFont="1" applyFill="1" applyBorder="1" applyProtection="1">
      <protection locked="0"/>
    </xf>
    <xf numFmtId="174" fontId="24" fillId="0" borderId="29" xfId="0" applyNumberFormat="1" applyFont="1" applyFill="1" applyBorder="1" applyAlignment="1">
      <alignment horizontal="center"/>
    </xf>
    <xf numFmtId="174" fontId="3" fillId="0" borderId="29" xfId="0" applyNumberFormat="1" applyFont="1" applyFill="1" applyBorder="1" applyAlignment="1">
      <alignment horizontal="right"/>
    </xf>
    <xf numFmtId="174" fontId="3" fillId="0" borderId="28" xfId="0" applyNumberFormat="1" applyFont="1" applyFill="1" applyBorder="1" applyAlignment="1">
      <alignment horizontal="right"/>
    </xf>
    <xf numFmtId="174" fontId="3" fillId="0" borderId="11" xfId="0" applyNumberFormat="1" applyFont="1" applyFill="1" applyBorder="1" applyAlignment="1">
      <alignment horizontal="right"/>
    </xf>
    <xf numFmtId="174" fontId="3" fillId="0" borderId="13" xfId="0" applyNumberFormat="1" applyFont="1" applyFill="1" applyBorder="1" applyAlignment="1">
      <alignment horizontal="right"/>
    </xf>
    <xf numFmtId="174" fontId="3" fillId="0" borderId="27" xfId="0" applyNumberFormat="1" applyFont="1" applyFill="1" applyBorder="1" applyAlignment="1">
      <alignment horizontal="right"/>
    </xf>
    <xf numFmtId="40" fontId="3" fillId="0" borderId="10" xfId="0" applyNumberFormat="1" applyFont="1" applyFill="1" applyBorder="1" applyAlignment="1" applyProtection="1">
      <alignment horizontal="center"/>
      <protection locked="0"/>
    </xf>
    <xf numFmtId="166" fontId="3" fillId="0" borderId="10" xfId="0" applyNumberFormat="1" applyFont="1" applyFill="1" applyBorder="1" applyAlignment="1" applyProtection="1">
      <alignment horizontal="center"/>
      <protection locked="0"/>
    </xf>
    <xf numFmtId="38" fontId="0" fillId="4" borderId="4" xfId="0" applyFill="1" applyBorder="1"/>
    <xf numFmtId="38" fontId="3" fillId="4" borderId="30" xfId="0" applyFont="1" applyFill="1" applyBorder="1" applyAlignment="1" applyProtection="1">
      <alignment vertical="center"/>
    </xf>
    <xf numFmtId="2" fontId="3" fillId="4" borderId="10" xfId="1" applyNumberFormat="1" applyFont="1" applyFill="1" applyBorder="1" applyAlignment="1">
      <alignment horizontal="right"/>
    </xf>
    <xf numFmtId="0" fontId="3" fillId="4" borderId="30" xfId="2" applyFill="1" applyBorder="1"/>
    <xf numFmtId="166" fontId="3" fillId="0" borderId="4" xfId="0" applyNumberFormat="1" applyFont="1" applyFill="1" applyBorder="1" applyAlignment="1" applyProtection="1">
      <alignment horizontal="center" vertical="center" wrapText="1"/>
      <protection locked="0"/>
    </xf>
    <xf numFmtId="166" fontId="3" fillId="4" borderId="9" xfId="3" applyNumberFormat="1" applyFont="1" applyFill="1" applyBorder="1" applyAlignment="1">
      <alignment horizontal="center"/>
    </xf>
    <xf numFmtId="38" fontId="9" fillId="4" borderId="30" xfId="0" applyFont="1" applyFill="1" applyBorder="1"/>
    <xf numFmtId="169" fontId="9" fillId="4" borderId="9" xfId="1" applyNumberFormat="1" applyFont="1" applyFill="1" applyBorder="1" applyAlignment="1">
      <alignment horizontal="center"/>
    </xf>
    <xf numFmtId="177" fontId="5" fillId="4" borderId="9" xfId="1" applyNumberFormat="1" applyFont="1" applyFill="1" applyBorder="1" applyAlignment="1">
      <alignment horizontal="centerContinuous"/>
    </xf>
    <xf numFmtId="38" fontId="0" fillId="4" borderId="30" xfId="0" applyFill="1" applyBorder="1"/>
    <xf numFmtId="38" fontId="5" fillId="4" borderId="30" xfId="0" applyFont="1" applyFill="1" applyBorder="1"/>
    <xf numFmtId="177" fontId="5" fillId="4" borderId="11" xfId="1" applyNumberFormat="1" applyFont="1" applyFill="1" applyBorder="1" applyAlignment="1">
      <alignment horizontal="centerContinuous"/>
    </xf>
    <xf numFmtId="167" fontId="5" fillId="4" borderId="3" xfId="0" applyNumberFormat="1" applyFont="1" applyFill="1" applyBorder="1"/>
    <xf numFmtId="167" fontId="5" fillId="4" borderId="43" xfId="0" applyNumberFormat="1" applyFont="1" applyFill="1" applyBorder="1"/>
    <xf numFmtId="167" fontId="5" fillId="4" borderId="8" xfId="0" applyNumberFormat="1" applyFont="1" applyFill="1" applyBorder="1"/>
    <xf numFmtId="38" fontId="5" fillId="4" borderId="45" xfId="0" applyFont="1" applyFill="1" applyBorder="1"/>
    <xf numFmtId="177" fontId="5" fillId="4" borderId="13" xfId="1" applyNumberFormat="1" applyFont="1" applyFill="1" applyBorder="1" applyAlignment="1">
      <alignment horizontal="centerContinuous"/>
    </xf>
    <xf numFmtId="177" fontId="5" fillId="4" borderId="27" xfId="1" applyNumberFormat="1" applyFont="1" applyFill="1" applyBorder="1" applyAlignment="1">
      <alignment horizontal="centerContinuous"/>
    </xf>
    <xf numFmtId="177" fontId="0" fillId="4" borderId="0" xfId="0" applyNumberFormat="1" applyFill="1" applyBorder="1" applyAlignment="1">
      <alignment horizontal="centerContinuous"/>
    </xf>
    <xf numFmtId="173" fontId="4" fillId="4" borderId="46" xfId="0" applyNumberFormat="1" applyFont="1" applyFill="1" applyBorder="1" applyAlignment="1">
      <alignment horizontal="center" vertical="center"/>
    </xf>
    <xf numFmtId="173" fontId="4" fillId="4" borderId="14" xfId="0" applyNumberFormat="1" applyFont="1" applyFill="1" applyBorder="1" applyAlignment="1">
      <alignment horizontal="center" vertical="center"/>
    </xf>
    <xf numFmtId="173" fontId="4" fillId="4" borderId="15" xfId="0" applyNumberFormat="1" applyFont="1" applyFill="1" applyBorder="1" applyAlignment="1">
      <alignment horizontal="center" vertical="center"/>
    </xf>
    <xf numFmtId="177" fontId="0" fillId="4" borderId="0" xfId="1" applyNumberFormat="1" applyFont="1" applyFill="1" applyBorder="1" applyAlignment="1">
      <alignment horizontal="centerContinuous"/>
    </xf>
    <xf numFmtId="173" fontId="9" fillId="4" borderId="12" xfId="0" applyNumberFormat="1" applyFont="1" applyFill="1" applyBorder="1" applyAlignment="1" applyProtection="1">
      <alignment horizontal="center" vertical="center"/>
      <protection locked="0"/>
    </xf>
    <xf numFmtId="173" fontId="9" fillId="4" borderId="29" xfId="0" applyNumberFormat="1" applyFont="1" applyFill="1" applyBorder="1" applyAlignment="1" applyProtection="1">
      <alignment horizontal="center" vertical="center"/>
      <protection locked="0"/>
    </xf>
    <xf numFmtId="173" fontId="9" fillId="4" borderId="28" xfId="0" applyNumberFormat="1" applyFont="1" applyFill="1" applyBorder="1" applyAlignment="1" applyProtection="1">
      <alignment horizontal="center" vertical="center"/>
      <protection locked="0"/>
    </xf>
    <xf numFmtId="38" fontId="9" fillId="4" borderId="41" xfId="0" applyFont="1" applyFill="1" applyBorder="1" applyAlignment="1" applyProtection="1">
      <alignment horizontal="center"/>
      <protection locked="0"/>
    </xf>
    <xf numFmtId="38" fontId="9" fillId="4" borderId="13" xfId="0" applyFont="1" applyFill="1" applyBorder="1" applyAlignment="1" applyProtection="1">
      <alignment horizontal="center"/>
      <protection locked="0"/>
    </xf>
    <xf numFmtId="1" fontId="9" fillId="4" borderId="8" xfId="0" applyNumberFormat="1" applyFont="1" applyFill="1" applyBorder="1" applyAlignment="1" applyProtection="1">
      <alignment horizontal="center" vertical="center"/>
      <protection locked="0"/>
    </xf>
    <xf numFmtId="1" fontId="9" fillId="4" borderId="13" xfId="0" applyNumberFormat="1" applyFont="1" applyFill="1" applyBorder="1" applyAlignment="1" applyProtection="1">
      <alignment horizontal="center" vertical="center"/>
      <protection locked="0"/>
    </xf>
    <xf numFmtId="1" fontId="9" fillId="4" borderId="27" xfId="0" applyNumberFormat="1" applyFont="1" applyFill="1" applyBorder="1" applyAlignment="1" applyProtection="1">
      <alignment horizontal="center" vertical="center"/>
      <protection locked="0"/>
    </xf>
    <xf numFmtId="173" fontId="5" fillId="4" borderId="43" xfId="0" applyNumberFormat="1" applyFont="1" applyFill="1" applyBorder="1" applyProtection="1">
      <protection locked="0"/>
    </xf>
    <xf numFmtId="173" fontId="5" fillId="4" borderId="10" xfId="0" applyNumberFormat="1" applyFont="1" applyFill="1" applyBorder="1" applyProtection="1">
      <protection locked="0"/>
    </xf>
    <xf numFmtId="173" fontId="5" fillId="4" borderId="11" xfId="0" applyNumberFormat="1" applyFont="1" applyFill="1" applyBorder="1" applyProtection="1">
      <protection locked="0"/>
    </xf>
    <xf numFmtId="173" fontId="5" fillId="4" borderId="30" xfId="0" applyNumberFormat="1" applyFont="1" applyFill="1" applyBorder="1" applyProtection="1">
      <protection locked="0"/>
    </xf>
    <xf numFmtId="173" fontId="5" fillId="4" borderId="44" xfId="0" applyNumberFormat="1" applyFont="1" applyFill="1" applyBorder="1" applyProtection="1">
      <protection locked="0"/>
    </xf>
    <xf numFmtId="173" fontId="4" fillId="4" borderId="37" xfId="0" applyNumberFormat="1" applyFont="1" applyFill="1" applyBorder="1" applyProtection="1">
      <protection locked="0"/>
    </xf>
    <xf numFmtId="173" fontId="4" fillId="4" borderId="36" xfId="0" applyNumberFormat="1" applyFont="1" applyFill="1" applyBorder="1" applyProtection="1">
      <protection locked="0"/>
    </xf>
    <xf numFmtId="173" fontId="4" fillId="4" borderId="45" xfId="0" applyNumberFormat="1" applyFont="1" applyFill="1" applyBorder="1" applyProtection="1">
      <protection locked="0"/>
    </xf>
    <xf numFmtId="173" fontId="4" fillId="4" borderId="8" xfId="0" applyNumberFormat="1" applyFont="1" applyFill="1" applyBorder="1" applyProtection="1">
      <protection locked="0"/>
    </xf>
    <xf numFmtId="173" fontId="4" fillId="4" borderId="13" xfId="0" applyNumberFormat="1" applyFont="1" applyFill="1" applyBorder="1" applyProtection="1">
      <protection locked="0"/>
    </xf>
    <xf numFmtId="173" fontId="4" fillId="4" borderId="27" xfId="0" applyNumberFormat="1" applyFont="1" applyFill="1" applyBorder="1" applyProtection="1">
      <protection locked="0"/>
    </xf>
    <xf numFmtId="173" fontId="5" fillId="4" borderId="19" xfId="0" applyNumberFormat="1" applyFont="1" applyFill="1" applyBorder="1" applyProtection="1">
      <protection locked="0"/>
    </xf>
    <xf numFmtId="173" fontId="5" fillId="4" borderId="0" xfId="0" applyNumberFormat="1" applyFont="1" applyFill="1" applyBorder="1" applyProtection="1">
      <protection locked="0"/>
    </xf>
    <xf numFmtId="173" fontId="5" fillId="4" borderId="20" xfId="0" applyNumberFormat="1" applyFont="1" applyFill="1" applyBorder="1" applyProtection="1">
      <protection locked="0"/>
    </xf>
    <xf numFmtId="173" fontId="4" fillId="4" borderId="50" xfId="0" applyNumberFormat="1" applyFont="1" applyFill="1" applyBorder="1" applyProtection="1">
      <protection locked="0"/>
    </xf>
    <xf numFmtId="173" fontId="4" fillId="4" borderId="31" xfId="0" applyNumberFormat="1" applyFont="1" applyFill="1" applyBorder="1" applyProtection="1">
      <protection locked="0"/>
    </xf>
    <xf numFmtId="173" fontId="7" fillId="4" borderId="19" xfId="0" applyNumberFormat="1" applyFont="1" applyFill="1" applyBorder="1" applyProtection="1">
      <protection locked="0"/>
    </xf>
    <xf numFmtId="173" fontId="7" fillId="4" borderId="0" xfId="0" applyNumberFormat="1" applyFont="1" applyFill="1" applyBorder="1" applyProtection="1">
      <protection locked="0"/>
    </xf>
    <xf numFmtId="173" fontId="4" fillId="4" borderId="0" xfId="0" applyNumberFormat="1" applyFont="1" applyFill="1" applyBorder="1" applyProtection="1">
      <protection locked="0"/>
    </xf>
    <xf numFmtId="173" fontId="5" fillId="4" borderId="15" xfId="0" applyNumberFormat="1" applyFont="1" applyFill="1" applyBorder="1" applyProtection="1">
      <protection locked="0"/>
    </xf>
    <xf numFmtId="173" fontId="4" fillId="4" borderId="47" xfId="0" applyNumberFormat="1" applyFont="1" applyFill="1" applyBorder="1" applyProtection="1">
      <protection locked="0"/>
    </xf>
    <xf numFmtId="173" fontId="4" fillId="4" borderId="5" xfId="0" applyNumberFormat="1" applyFont="1" applyFill="1" applyBorder="1" applyProtection="1">
      <protection locked="0"/>
    </xf>
    <xf numFmtId="173" fontId="4" fillId="4" borderId="6" xfId="0" applyNumberFormat="1" applyFont="1" applyFill="1" applyBorder="1" applyProtection="1">
      <protection locked="0"/>
    </xf>
    <xf numFmtId="173" fontId="4" fillId="4" borderId="7" xfId="0" applyNumberFormat="1" applyFont="1" applyFill="1" applyBorder="1" applyProtection="1">
      <protection locked="0"/>
    </xf>
    <xf numFmtId="173" fontId="4" fillId="4" borderId="11" xfId="0" applyNumberFormat="1" applyFont="1" applyFill="1" applyBorder="1" applyProtection="1">
      <protection locked="0"/>
    </xf>
    <xf numFmtId="173" fontId="4" fillId="4" borderId="44" xfId="0" applyNumberFormat="1" applyFont="1" applyFill="1" applyBorder="1" applyProtection="1">
      <protection locked="0"/>
    </xf>
    <xf numFmtId="173" fontId="4" fillId="4" borderId="4" xfId="0" applyNumberFormat="1" applyFont="1" applyFill="1" applyBorder="1" applyProtection="1">
      <protection locked="0"/>
    </xf>
    <xf numFmtId="173" fontId="4" fillId="4" borderId="9" xfId="0" applyNumberFormat="1" applyFont="1" applyFill="1" applyBorder="1" applyProtection="1">
      <protection locked="0"/>
    </xf>
    <xf numFmtId="173" fontId="5" fillId="4" borderId="34" xfId="0" applyNumberFormat="1" applyFont="1" applyFill="1" applyBorder="1" applyProtection="1">
      <protection locked="0"/>
    </xf>
    <xf numFmtId="173" fontId="5" fillId="4" borderId="46" xfId="0" applyNumberFormat="1" applyFont="1" applyFill="1" applyBorder="1" applyProtection="1">
      <protection locked="0"/>
    </xf>
    <xf numFmtId="173" fontId="4" fillId="4" borderId="33" xfId="0" applyNumberFormat="1" applyFont="1" applyFill="1" applyBorder="1" applyProtection="1">
      <protection locked="0"/>
    </xf>
    <xf numFmtId="173" fontId="4" fillId="4" borderId="26" xfId="0" applyNumberFormat="1" applyFont="1" applyFill="1" applyBorder="1" applyProtection="1">
      <protection locked="0"/>
    </xf>
    <xf numFmtId="173" fontId="5" fillId="4" borderId="66" xfId="0" applyNumberFormat="1" applyFont="1" applyFill="1" applyBorder="1" applyProtection="1">
      <protection locked="0"/>
    </xf>
    <xf numFmtId="173" fontId="5" fillId="4" borderId="67" xfId="0" applyNumberFormat="1" applyFont="1" applyFill="1" applyBorder="1" applyProtection="1">
      <protection locked="0"/>
    </xf>
    <xf numFmtId="173" fontId="5" fillId="4" borderId="68" xfId="0" applyNumberFormat="1" applyFont="1" applyFill="1" applyBorder="1" applyProtection="1">
      <protection locked="0"/>
    </xf>
    <xf numFmtId="173" fontId="5" fillId="4" borderId="54" xfId="0" applyNumberFormat="1" applyFont="1" applyFill="1" applyBorder="1" applyProtection="1">
      <protection locked="0"/>
    </xf>
    <xf numFmtId="173" fontId="5" fillId="4" borderId="56" xfId="0" applyNumberFormat="1" applyFont="1" applyFill="1" applyBorder="1" applyProtection="1">
      <protection locked="0"/>
    </xf>
    <xf numFmtId="173" fontId="4" fillId="4" borderId="68" xfId="0" applyNumberFormat="1" applyFont="1" applyFill="1" applyBorder="1" applyProtection="1">
      <protection locked="0"/>
    </xf>
    <xf numFmtId="173" fontId="5" fillId="4" borderId="53" xfId="0" applyNumberFormat="1" applyFont="1" applyFill="1" applyBorder="1" applyProtection="1">
      <protection locked="0"/>
    </xf>
    <xf numFmtId="173" fontId="4" fillId="4" borderId="19" xfId="0" applyNumberFormat="1" applyFont="1" applyFill="1" applyBorder="1" applyProtection="1">
      <protection locked="0"/>
    </xf>
    <xf numFmtId="38" fontId="19" fillId="4" borderId="19" xfId="0" applyNumberFormat="1" applyFont="1" applyFill="1" applyBorder="1" applyAlignment="1" applyProtection="1">
      <alignment vertical="center"/>
    </xf>
    <xf numFmtId="38" fontId="19" fillId="4" borderId="0" xfId="0" applyNumberFormat="1" applyFont="1" applyFill="1" applyBorder="1" applyAlignment="1" applyProtection="1">
      <alignment vertical="center"/>
    </xf>
    <xf numFmtId="38" fontId="9" fillId="4" borderId="16" xfId="0" applyFont="1" applyFill="1" applyBorder="1" applyAlignment="1">
      <alignment vertical="center"/>
    </xf>
    <xf numFmtId="38" fontId="9" fillId="4" borderId="9" xfId="0" applyFont="1" applyFill="1" applyBorder="1" applyAlignment="1">
      <alignment vertical="center"/>
    </xf>
    <xf numFmtId="38" fontId="9" fillId="4" borderId="9" xfId="0" applyNumberFormat="1" applyFont="1" applyFill="1" applyBorder="1" applyAlignment="1" applyProtection="1">
      <alignment horizontal="center" vertical="center"/>
    </xf>
    <xf numFmtId="38" fontId="9" fillId="4" borderId="12" xfId="0" applyNumberFormat="1" applyFont="1" applyFill="1" applyBorder="1" applyAlignment="1" applyProtection="1">
      <alignment horizontal="center" vertical="center"/>
    </xf>
    <xf numFmtId="38" fontId="9" fillId="4" borderId="29" xfId="0" applyNumberFormat="1" applyFont="1" applyFill="1" applyBorder="1" applyAlignment="1" applyProtection="1">
      <alignment horizontal="center" vertical="center"/>
    </xf>
    <xf numFmtId="38" fontId="9" fillId="4" borderId="70" xfId="0" applyNumberFormat="1" applyFont="1" applyFill="1" applyBorder="1" applyAlignment="1" applyProtection="1">
      <alignment horizontal="center" vertical="center"/>
    </xf>
    <xf numFmtId="38" fontId="9" fillId="4" borderId="61" xfId="0" applyFont="1" applyFill="1" applyBorder="1" applyAlignment="1">
      <alignment horizontal="center" vertical="center"/>
    </xf>
    <xf numFmtId="38" fontId="9" fillId="4" borderId="18" xfId="0" applyNumberFormat="1" applyFont="1" applyFill="1" applyBorder="1" applyAlignment="1" applyProtection="1">
      <alignment horizontal="center" vertical="center"/>
    </xf>
    <xf numFmtId="38" fontId="10" fillId="4" borderId="9" xfId="0" applyFont="1" applyFill="1" applyBorder="1" applyAlignment="1">
      <alignment horizontal="center"/>
    </xf>
    <xf numFmtId="9" fontId="10" fillId="4" borderId="9" xfId="3" applyFont="1" applyFill="1" applyBorder="1" applyAlignment="1">
      <alignment horizontal="center"/>
    </xf>
    <xf numFmtId="38" fontId="10" fillId="4" borderId="3" xfId="0" applyFont="1" applyFill="1" applyBorder="1" applyAlignment="1">
      <alignment horizontal="center"/>
    </xf>
    <xf numFmtId="166" fontId="10" fillId="4" borderId="9" xfId="0" applyNumberFormat="1" applyFont="1" applyFill="1" applyBorder="1" applyAlignment="1">
      <alignment horizontal="center"/>
    </xf>
    <xf numFmtId="38" fontId="10" fillId="4" borderId="4" xfId="0" applyFont="1" applyFill="1" applyBorder="1" applyAlignment="1">
      <alignment horizontal="center"/>
    </xf>
    <xf numFmtId="38" fontId="10" fillId="4" borderId="8" xfId="0" applyFont="1" applyFill="1" applyBorder="1" applyAlignment="1">
      <alignment horizontal="center"/>
    </xf>
    <xf numFmtId="166" fontId="10" fillId="4" borderId="13" xfId="0" applyNumberFormat="1" applyFont="1" applyFill="1" applyBorder="1" applyAlignment="1">
      <alignment horizontal="center"/>
    </xf>
    <xf numFmtId="38" fontId="10" fillId="4" borderId="13" xfId="0" applyFont="1" applyFill="1" applyBorder="1" applyAlignment="1">
      <alignment horizontal="center"/>
    </xf>
    <xf numFmtId="38" fontId="10" fillId="4" borderId="31" xfId="0" applyFont="1" applyFill="1" applyBorder="1" applyAlignment="1">
      <alignment horizontal="center"/>
    </xf>
    <xf numFmtId="38" fontId="4" fillId="4" borderId="24" xfId="0" applyFont="1" applyFill="1" applyBorder="1" applyAlignment="1" applyProtection="1">
      <alignment horizontal="left"/>
    </xf>
    <xf numFmtId="38" fontId="5" fillId="4" borderId="5" xfId="0" applyFont="1" applyFill="1" applyBorder="1" applyAlignment="1" applyProtection="1">
      <alignment horizontal="center"/>
    </xf>
    <xf numFmtId="38" fontId="5" fillId="4" borderId="6" xfId="0" applyFont="1" applyFill="1" applyBorder="1"/>
    <xf numFmtId="38" fontId="0" fillId="4" borderId="6" xfId="0" applyFont="1" applyFill="1" applyBorder="1" applyAlignment="1">
      <alignment horizontal="center"/>
    </xf>
    <xf numFmtId="166" fontId="0" fillId="4" borderId="47" xfId="0" applyNumberFormat="1" applyFont="1" applyFill="1" applyBorder="1" applyAlignment="1">
      <alignment horizontal="right"/>
    </xf>
    <xf numFmtId="166" fontId="0" fillId="4" borderId="35" xfId="0" applyNumberFormat="1" applyFont="1" applyFill="1" applyBorder="1" applyAlignment="1">
      <alignment horizontal="left"/>
    </xf>
    <xf numFmtId="38" fontId="5" fillId="4" borderId="47" xfId="0" applyFont="1" applyFill="1" applyBorder="1" applyAlignment="1">
      <alignment horizontal="center"/>
    </xf>
    <xf numFmtId="166" fontId="10" fillId="4" borderId="35" xfId="3" applyNumberFormat="1" applyFont="1" applyFill="1" applyBorder="1" applyAlignment="1">
      <alignment horizontal="left"/>
    </xf>
    <xf numFmtId="38" fontId="0" fillId="4" borderId="47" xfId="0" applyFont="1" applyFill="1" applyBorder="1"/>
    <xf numFmtId="38" fontId="0" fillId="4" borderId="35" xfId="0" applyFont="1" applyFill="1" applyBorder="1" applyAlignment="1">
      <alignment horizontal="left"/>
    </xf>
    <xf numFmtId="38" fontId="5" fillId="4" borderId="47" xfId="0" applyNumberFormat="1" applyFont="1" applyFill="1" applyBorder="1" applyProtection="1"/>
    <xf numFmtId="38" fontId="5" fillId="4" borderId="35" xfId="0" applyNumberFormat="1" applyFont="1" applyFill="1" applyBorder="1" applyAlignment="1" applyProtection="1">
      <alignment horizontal="left"/>
    </xf>
    <xf numFmtId="38" fontId="0" fillId="4" borderId="47" xfId="0" applyFont="1" applyFill="1" applyBorder="1" applyAlignment="1">
      <alignment horizontal="center"/>
    </xf>
    <xf numFmtId="166" fontId="5" fillId="4" borderId="25" xfId="0" applyNumberFormat="1" applyFont="1" applyFill="1" applyBorder="1" applyAlignment="1">
      <alignment horizontal="left"/>
    </xf>
    <xf numFmtId="38" fontId="0" fillId="4" borderId="5" xfId="0" applyFont="1" applyFill="1" applyBorder="1" applyAlignment="1">
      <alignment horizontal="center"/>
    </xf>
    <xf numFmtId="166" fontId="10" fillId="4" borderId="35" xfId="3" applyNumberFormat="1" applyFont="1" applyFill="1" applyBorder="1" applyAlignment="1">
      <alignment horizontal="center"/>
    </xf>
    <xf numFmtId="38" fontId="0" fillId="4" borderId="47" xfId="0" applyFont="1" applyFill="1" applyBorder="1" applyAlignment="1">
      <alignment horizontal="right"/>
    </xf>
    <xf numFmtId="166" fontId="10" fillId="4" borderId="26" xfId="3" applyNumberFormat="1" applyFont="1" applyFill="1" applyBorder="1" applyAlignment="1">
      <alignment horizontal="left"/>
    </xf>
    <xf numFmtId="38" fontId="0" fillId="4" borderId="35" xfId="0" applyFont="1" applyFill="1" applyBorder="1" applyAlignment="1">
      <alignment horizontal="center"/>
    </xf>
    <xf numFmtId="182" fontId="5" fillId="4" borderId="7" xfId="0" applyNumberFormat="1" applyFont="1" applyFill="1" applyBorder="1" applyAlignment="1">
      <alignment horizontal="center"/>
    </xf>
    <xf numFmtId="38" fontId="6" fillId="4" borderId="19" xfId="0" applyFont="1" applyFill="1" applyBorder="1" applyAlignment="1" applyProtection="1">
      <alignment horizontal="center"/>
    </xf>
    <xf numFmtId="38" fontId="6" fillId="4" borderId="0" xfId="0" applyFont="1" applyFill="1" applyBorder="1" applyAlignment="1" applyProtection="1">
      <alignment horizontal="center"/>
    </xf>
    <xf numFmtId="38" fontId="5" fillId="4" borderId="19" xfId="0" applyNumberFormat="1" applyFont="1" applyFill="1" applyBorder="1" applyProtection="1"/>
    <xf numFmtId="38" fontId="5" fillId="4" borderId="0" xfId="0" applyNumberFormat="1" applyFont="1" applyFill="1" applyBorder="1" applyProtection="1"/>
    <xf numFmtId="175" fontId="5" fillId="4" borderId="0" xfId="0" applyNumberFormat="1" applyFont="1" applyFill="1" applyBorder="1" applyProtection="1"/>
    <xf numFmtId="38" fontId="5" fillId="4" borderId="20" xfId="0" applyFont="1" applyFill="1" applyBorder="1" applyProtection="1"/>
    <xf numFmtId="170" fontId="9" fillId="4" borderId="40" xfId="0" applyNumberFormat="1" applyFont="1" applyFill="1" applyBorder="1" applyAlignment="1" applyProtection="1">
      <alignment horizontal="center"/>
    </xf>
    <xf numFmtId="170" fontId="9" fillId="4" borderId="29" xfId="0" applyNumberFormat="1" applyFont="1" applyFill="1" applyBorder="1" applyAlignment="1" applyProtection="1">
      <alignment horizontal="center"/>
    </xf>
    <xf numFmtId="170" fontId="9" fillId="4" borderId="28" xfId="0" applyNumberFormat="1" applyFont="1" applyFill="1" applyBorder="1" applyAlignment="1" applyProtection="1">
      <alignment horizontal="center"/>
    </xf>
    <xf numFmtId="170" fontId="9" fillId="4" borderId="31" xfId="0" applyNumberFormat="1" applyFont="1" applyFill="1" applyBorder="1" applyAlignment="1" applyProtection="1">
      <alignment horizontal="center"/>
    </xf>
    <xf numFmtId="38" fontId="14" fillId="4" borderId="16" xfId="0" applyFont="1" applyFill="1" applyBorder="1"/>
    <xf numFmtId="38" fontId="0" fillId="4" borderId="17" xfId="0" applyFill="1" applyBorder="1"/>
    <xf numFmtId="38" fontId="0" fillId="4" borderId="44" xfId="0" applyFill="1" applyBorder="1"/>
    <xf numFmtId="38" fontId="0" fillId="4" borderId="3" xfId="0" applyFill="1" applyBorder="1"/>
    <xf numFmtId="38" fontId="0" fillId="4" borderId="46" xfId="0" applyFill="1" applyBorder="1"/>
    <xf numFmtId="38" fontId="0" fillId="4" borderId="21" xfId="0" applyFill="1" applyBorder="1"/>
    <xf numFmtId="38" fontId="0" fillId="4" borderId="57" xfId="0" applyFill="1" applyBorder="1"/>
    <xf numFmtId="38" fontId="0" fillId="4" borderId="27" xfId="0" applyFill="1" applyBorder="1"/>
    <xf numFmtId="38" fontId="0" fillId="4" borderId="8" xfId="0" applyFill="1" applyBorder="1"/>
    <xf numFmtId="38" fontId="0" fillId="4" borderId="13" xfId="0" applyFill="1" applyBorder="1"/>
    <xf numFmtId="38" fontId="0" fillId="4" borderId="45" xfId="0" applyFill="1" applyBorder="1"/>
    <xf numFmtId="38" fontId="0" fillId="4" borderId="31" xfId="0" applyFill="1" applyBorder="1"/>
    <xf numFmtId="175" fontId="17" fillId="4" borderId="19" xfId="0" applyNumberFormat="1" applyFont="1" applyFill="1" applyBorder="1"/>
    <xf numFmtId="175" fontId="17" fillId="4" borderId="0" xfId="0" applyNumberFormat="1" applyFont="1" applyFill="1" applyBorder="1"/>
    <xf numFmtId="175" fontId="17" fillId="4" borderId="20" xfId="0" applyNumberFormat="1" applyFont="1" applyFill="1" applyBorder="1"/>
    <xf numFmtId="38" fontId="0" fillId="4" borderId="42" xfId="0" applyFill="1" applyBorder="1"/>
    <xf numFmtId="176" fontId="0" fillId="4" borderId="50" xfId="0" applyNumberFormat="1" applyFill="1" applyBorder="1" applyAlignment="1">
      <alignment horizontal="center"/>
    </xf>
    <xf numFmtId="176" fontId="0" fillId="4" borderId="8" xfId="0" applyNumberFormat="1" applyFill="1" applyBorder="1" applyAlignment="1">
      <alignment horizontal="center"/>
    </xf>
    <xf numFmtId="176" fontId="0" fillId="4" borderId="13" xfId="0" applyNumberFormat="1" applyFill="1" applyBorder="1" applyAlignment="1">
      <alignment horizontal="center"/>
    </xf>
    <xf numFmtId="176" fontId="0" fillId="4" borderId="45" xfId="0" applyNumberFormat="1" applyFill="1" applyBorder="1" applyAlignment="1">
      <alignment horizontal="center"/>
    </xf>
    <xf numFmtId="176" fontId="0" fillId="4" borderId="27" xfId="0" applyNumberFormat="1" applyFill="1" applyBorder="1" applyAlignment="1">
      <alignment horizontal="center"/>
    </xf>
    <xf numFmtId="176" fontId="0" fillId="4" borderId="31" xfId="0" applyNumberFormat="1" applyFill="1" applyBorder="1" applyAlignment="1">
      <alignment horizontal="center"/>
    </xf>
    <xf numFmtId="10" fontId="0" fillId="4" borderId="3" xfId="0" applyNumberFormat="1" applyFill="1" applyBorder="1" applyAlignment="1">
      <alignment horizontal="center"/>
    </xf>
    <xf numFmtId="10" fontId="0" fillId="4" borderId="9" xfId="0" applyNumberFormat="1" applyFill="1" applyBorder="1" applyAlignment="1">
      <alignment horizontal="center"/>
    </xf>
    <xf numFmtId="10" fontId="0" fillId="4" borderId="30" xfId="0" applyNumberFormat="1" applyFill="1" applyBorder="1" applyAlignment="1">
      <alignment horizontal="center"/>
    </xf>
    <xf numFmtId="10" fontId="0" fillId="4" borderId="11" xfId="0" applyNumberFormat="1" applyFill="1" applyBorder="1" applyAlignment="1">
      <alignment horizontal="center"/>
    </xf>
    <xf numFmtId="10" fontId="0" fillId="4" borderId="4" xfId="0" applyNumberFormat="1" applyFill="1" applyBorder="1" applyAlignment="1">
      <alignment horizontal="center"/>
    </xf>
    <xf numFmtId="38" fontId="0" fillId="4" borderId="50" xfId="0" applyFill="1" applyBorder="1"/>
    <xf numFmtId="10" fontId="0" fillId="4" borderId="8" xfId="0" applyNumberFormat="1" applyFill="1" applyBorder="1" applyAlignment="1">
      <alignment horizontal="center"/>
    </xf>
    <xf numFmtId="10" fontId="0" fillId="4" borderId="13" xfId="0" applyNumberFormat="1" applyFill="1" applyBorder="1" applyAlignment="1">
      <alignment horizontal="center"/>
    </xf>
    <xf numFmtId="10" fontId="0" fillId="4" borderId="45" xfId="0" applyNumberFormat="1" applyFill="1" applyBorder="1" applyAlignment="1">
      <alignment horizontal="center"/>
    </xf>
    <xf numFmtId="10" fontId="0" fillId="4" borderId="27" xfId="0" applyNumberFormat="1" applyFill="1" applyBorder="1" applyAlignment="1">
      <alignment horizontal="center"/>
    </xf>
    <xf numFmtId="10" fontId="0" fillId="4" borderId="31" xfId="0" applyNumberFormat="1" applyFill="1" applyBorder="1" applyAlignment="1">
      <alignment horizontal="center"/>
    </xf>
    <xf numFmtId="38" fontId="14" fillId="4" borderId="16" xfId="0" applyFont="1" applyFill="1" applyBorder="1" applyAlignment="1">
      <alignment horizontal="left"/>
    </xf>
    <xf numFmtId="38" fontId="0" fillId="4" borderId="10" xfId="0" applyFill="1" applyBorder="1" applyAlignment="1">
      <alignment horizontal="left"/>
    </xf>
    <xf numFmtId="38" fontId="0" fillId="4" borderId="44" xfId="0" applyFill="1" applyBorder="1" applyAlignment="1">
      <alignment horizontal="center"/>
    </xf>
    <xf numFmtId="38" fontId="16" fillId="4" borderId="18" xfId="0" applyFont="1" applyFill="1" applyBorder="1"/>
    <xf numFmtId="38" fontId="16" fillId="4" borderId="17" xfId="0" applyFont="1" applyFill="1" applyBorder="1"/>
    <xf numFmtId="38" fontId="0" fillId="4" borderId="43" xfId="0" applyFill="1" applyBorder="1"/>
    <xf numFmtId="38" fontId="0" fillId="4" borderId="23" xfId="0" applyFill="1" applyBorder="1"/>
    <xf numFmtId="38" fontId="0" fillId="4" borderId="22" xfId="0" applyFill="1" applyBorder="1"/>
    <xf numFmtId="38" fontId="3" fillId="0" borderId="44" xfId="0" applyFont="1" applyFill="1" applyBorder="1"/>
    <xf numFmtId="174" fontId="3" fillId="0" borderId="44" xfId="0" applyNumberFormat="1" applyFont="1" applyFill="1" applyBorder="1" applyProtection="1">
      <protection locked="0"/>
    </xf>
    <xf numFmtId="174" fontId="3" fillId="0" borderId="50" xfId="0" applyNumberFormat="1" applyFont="1" applyFill="1" applyBorder="1" applyProtection="1">
      <protection locked="0"/>
    </xf>
    <xf numFmtId="174" fontId="24" fillId="4" borderId="52" xfId="0" applyNumberFormat="1" applyFont="1" applyFill="1" applyBorder="1" applyAlignment="1">
      <alignment horizontal="left"/>
    </xf>
    <xf numFmtId="173" fontId="5" fillId="4" borderId="40" xfId="0" applyNumberFormat="1" applyFont="1" applyFill="1" applyBorder="1" applyProtection="1">
      <protection hidden="1"/>
    </xf>
    <xf numFmtId="173" fontId="5" fillId="4" borderId="4" xfId="0" applyNumberFormat="1" applyFont="1" applyFill="1" applyBorder="1" applyProtection="1">
      <protection hidden="1"/>
    </xf>
    <xf numFmtId="173" fontId="4" fillId="4" borderId="28" xfId="0" applyNumberFormat="1" applyFont="1" applyFill="1" applyBorder="1" applyProtection="1">
      <protection hidden="1"/>
    </xf>
    <xf numFmtId="173" fontId="4" fillId="4" borderId="11" xfId="0" applyNumberFormat="1" applyFont="1" applyFill="1" applyBorder="1" applyProtection="1">
      <protection hidden="1"/>
    </xf>
    <xf numFmtId="173" fontId="4" fillId="4" borderId="27" xfId="0" applyNumberFormat="1" applyFont="1" applyFill="1" applyBorder="1" applyProtection="1">
      <protection hidden="1"/>
    </xf>
    <xf numFmtId="170" fontId="9" fillId="4" borderId="53" xfId="0" applyNumberFormat="1" applyFont="1" applyFill="1" applyBorder="1" applyAlignment="1" applyProtection="1">
      <alignment horizontal="center" vertical="center"/>
      <protection hidden="1"/>
    </xf>
    <xf numFmtId="170" fontId="9" fillId="4" borderId="56" xfId="0" applyNumberFormat="1" applyFont="1" applyFill="1" applyBorder="1" applyAlignment="1" applyProtection="1">
      <alignment horizontal="center" vertical="center"/>
      <protection hidden="1"/>
    </xf>
    <xf numFmtId="170" fontId="9" fillId="4" borderId="55" xfId="0" applyNumberFormat="1" applyFont="1" applyFill="1" applyBorder="1" applyAlignment="1" applyProtection="1">
      <alignment horizontal="center" vertical="center"/>
      <protection hidden="1"/>
    </xf>
    <xf numFmtId="173" fontId="5" fillId="4" borderId="40" xfId="0" applyNumberFormat="1" applyFont="1" applyFill="1" applyBorder="1" applyAlignment="1" applyProtection="1">
      <alignment horizontal="center"/>
      <protection locked="0" hidden="1"/>
    </xf>
    <xf numFmtId="173" fontId="5" fillId="4" borderId="4" xfId="0" applyNumberFormat="1" applyFont="1" applyFill="1" applyBorder="1" applyAlignment="1" applyProtection="1">
      <alignment horizontal="center"/>
      <protection locked="0" hidden="1"/>
    </xf>
    <xf numFmtId="173" fontId="5" fillId="4" borderId="31" xfId="0" applyNumberFormat="1" applyFont="1" applyFill="1" applyBorder="1" applyAlignment="1" applyProtection="1">
      <alignment horizontal="center"/>
      <protection locked="0" hidden="1"/>
    </xf>
    <xf numFmtId="38" fontId="35" fillId="4" borderId="53" xfId="0" applyFont="1" applyFill="1" applyBorder="1" applyAlignment="1" applyProtection="1">
      <alignment horizontal="center" vertical="center"/>
      <protection hidden="1"/>
    </xf>
    <xf numFmtId="38" fontId="35" fillId="4" borderId="56" xfId="0" applyFont="1" applyFill="1" applyBorder="1" applyAlignment="1" applyProtection="1">
      <alignment horizontal="center" vertical="center"/>
      <protection hidden="1"/>
    </xf>
    <xf numFmtId="173" fontId="4" fillId="4" borderId="36" xfId="0" applyNumberFormat="1" applyFont="1" applyFill="1" applyBorder="1" applyProtection="1">
      <protection hidden="1"/>
    </xf>
    <xf numFmtId="191" fontId="5" fillId="4" borderId="28" xfId="0" applyNumberFormat="1" applyFont="1" applyFill="1" applyBorder="1" applyProtection="1">
      <protection hidden="1"/>
    </xf>
    <xf numFmtId="191" fontId="5" fillId="4" borderId="11" xfId="0" applyNumberFormat="1" applyFont="1" applyFill="1" applyBorder="1" applyProtection="1">
      <protection hidden="1"/>
    </xf>
    <xf numFmtId="173" fontId="4" fillId="4" borderId="47" xfId="0" applyNumberFormat="1" applyFont="1" applyFill="1" applyBorder="1"/>
    <xf numFmtId="173" fontId="4" fillId="4" borderId="35" xfId="0" applyNumberFormat="1" applyFont="1" applyFill="1" applyBorder="1"/>
    <xf numFmtId="172" fontId="5" fillId="4" borderId="31" xfId="0" applyNumberFormat="1" applyFont="1" applyFill="1" applyBorder="1"/>
    <xf numFmtId="172" fontId="4" fillId="4" borderId="28" xfId="0" applyNumberFormat="1" applyFont="1" applyFill="1" applyBorder="1"/>
    <xf numFmtId="172" fontId="4" fillId="4" borderId="11" xfId="0" applyNumberFormat="1" applyFont="1" applyFill="1" applyBorder="1"/>
    <xf numFmtId="172" fontId="4" fillId="4" borderId="27" xfId="0" applyNumberFormat="1" applyFont="1" applyFill="1" applyBorder="1"/>
    <xf numFmtId="172" fontId="5" fillId="4" borderId="40" xfId="0" applyNumberFormat="1" applyFont="1" applyFill="1" applyBorder="1" applyProtection="1">
      <protection locked="0"/>
    </xf>
    <xf numFmtId="172" fontId="5" fillId="4" borderId="4" xfId="0" applyNumberFormat="1" applyFont="1" applyFill="1" applyBorder="1" applyProtection="1">
      <protection locked="0"/>
    </xf>
    <xf numFmtId="172" fontId="5" fillId="4" borderId="31" xfId="0" applyNumberFormat="1" applyFont="1" applyFill="1" applyBorder="1" applyProtection="1">
      <protection locked="0"/>
    </xf>
    <xf numFmtId="183" fontId="4" fillId="4" borderId="37" xfId="0" applyNumberFormat="1" applyFont="1" applyFill="1" applyBorder="1"/>
    <xf numFmtId="183" fontId="4" fillId="4" borderId="36" xfId="0" applyNumberFormat="1" applyFont="1" applyFill="1" applyBorder="1"/>
    <xf numFmtId="183" fontId="4" fillId="4" borderId="32" xfId="0" applyNumberFormat="1" applyFont="1" applyFill="1" applyBorder="1"/>
    <xf numFmtId="183" fontId="4" fillId="4" borderId="28" xfId="0" applyNumberFormat="1" applyFont="1" applyFill="1" applyBorder="1"/>
    <xf numFmtId="183" fontId="4" fillId="4" borderId="11" xfId="0" applyNumberFormat="1" applyFont="1" applyFill="1" applyBorder="1"/>
    <xf numFmtId="171" fontId="5" fillId="4" borderId="12" xfId="0" applyNumberFormat="1" applyFont="1" applyFill="1" applyBorder="1"/>
    <xf numFmtId="177" fontId="5" fillId="4" borderId="28" xfId="0" applyNumberFormat="1" applyFont="1" applyFill="1" applyBorder="1" applyAlignment="1" applyProtection="1">
      <alignment horizontal="center"/>
      <protection locked="0"/>
    </xf>
    <xf numFmtId="171" fontId="5" fillId="4" borderId="3" xfId="0" applyNumberFormat="1" applyFont="1" applyFill="1" applyBorder="1"/>
    <xf numFmtId="177" fontId="5" fillId="4" borderId="11" xfId="0" applyNumberFormat="1" applyFont="1" applyFill="1" applyBorder="1" applyAlignment="1" applyProtection="1">
      <alignment horizontal="center"/>
      <protection locked="0"/>
    </xf>
    <xf numFmtId="171" fontId="5" fillId="4" borderId="8" xfId="0" applyNumberFormat="1" applyFont="1" applyFill="1" applyBorder="1"/>
    <xf numFmtId="177" fontId="5" fillId="4" borderId="27" xfId="0" applyNumberFormat="1" applyFont="1" applyFill="1" applyBorder="1" applyAlignment="1" applyProtection="1">
      <alignment horizontal="center"/>
      <protection locked="0"/>
    </xf>
    <xf numFmtId="169" fontId="3" fillId="4" borderId="9" xfId="1" applyNumberFormat="1" applyFont="1" applyFill="1" applyBorder="1" applyAlignment="1">
      <alignment horizontal="center"/>
    </xf>
    <xf numFmtId="183" fontId="3" fillId="4" borderId="9" xfId="1" applyNumberFormat="1" applyFont="1" applyFill="1" applyBorder="1" applyAlignment="1">
      <alignment horizontal="center"/>
    </xf>
    <xf numFmtId="169" fontId="3" fillId="0" borderId="9" xfId="1" applyNumberFormat="1" applyFont="1" applyBorder="1" applyAlignment="1">
      <alignment horizontal="center"/>
    </xf>
    <xf numFmtId="169" fontId="3" fillId="0" borderId="9" xfId="1" applyNumberFormat="1" applyFont="1" applyFill="1" applyBorder="1" applyAlignment="1">
      <alignment horizontal="center"/>
    </xf>
    <xf numFmtId="10" fontId="3" fillId="0" borderId="9" xfId="3" applyNumberFormat="1" applyFont="1" applyBorder="1"/>
    <xf numFmtId="10" fontId="3" fillId="0" borderId="9" xfId="3" applyNumberFormat="1" applyFont="1" applyFill="1" applyBorder="1"/>
    <xf numFmtId="190" fontId="3" fillId="0" borderId="9" xfId="3" applyNumberFormat="1" applyFont="1" applyBorder="1"/>
    <xf numFmtId="190" fontId="3" fillId="0" borderId="9" xfId="3" applyNumberFormat="1" applyFont="1" applyFill="1" applyBorder="1"/>
    <xf numFmtId="190" fontId="3" fillId="0" borderId="9" xfId="3" applyNumberFormat="1" applyFont="1" applyBorder="1" applyAlignment="1">
      <alignment horizontal="center"/>
    </xf>
    <xf numFmtId="9" fontId="3" fillId="0" borderId="9" xfId="3" applyFont="1" applyBorder="1" applyAlignment="1">
      <alignment horizontal="center"/>
    </xf>
    <xf numFmtId="169" fontId="3" fillId="0" borderId="9" xfId="2" applyNumberFormat="1" applyFont="1" applyBorder="1" applyAlignment="1">
      <alignment horizontal="center"/>
    </xf>
    <xf numFmtId="169" fontId="3" fillId="0" borderId="9" xfId="2" applyNumberFormat="1" applyBorder="1" applyAlignment="1">
      <alignment horizontal="center"/>
    </xf>
    <xf numFmtId="166" fontId="3" fillId="0" borderId="9" xfId="3" applyNumberFormat="1" applyFont="1" applyBorder="1" applyAlignment="1">
      <alignment horizontal="center"/>
    </xf>
    <xf numFmtId="10" fontId="3" fillId="0" borderId="9" xfId="3" applyNumberFormat="1" applyFont="1" applyBorder="1" applyAlignment="1">
      <alignment horizontal="center"/>
    </xf>
    <xf numFmtId="190" fontId="3" fillId="0" borderId="9" xfId="3" applyNumberFormat="1" applyFont="1" applyFill="1" applyBorder="1" applyAlignment="1">
      <alignment horizontal="center"/>
    </xf>
    <xf numFmtId="169" fontId="3" fillId="0" borderId="9" xfId="2" applyNumberFormat="1" applyFont="1" applyFill="1" applyBorder="1" applyAlignment="1">
      <alignment horizontal="center"/>
    </xf>
    <xf numFmtId="169" fontId="3" fillId="0" borderId="9" xfId="2" applyNumberFormat="1" applyFill="1" applyBorder="1" applyAlignment="1">
      <alignment horizontal="center"/>
    </xf>
    <xf numFmtId="166" fontId="3" fillId="0" borderId="9" xfId="3" applyNumberFormat="1" applyFont="1" applyFill="1" applyBorder="1" applyAlignment="1">
      <alignment horizontal="center"/>
    </xf>
    <xf numFmtId="10" fontId="3" fillId="0" borderId="9" xfId="3" applyNumberFormat="1" applyFont="1" applyFill="1" applyBorder="1" applyAlignment="1">
      <alignment horizontal="center"/>
    </xf>
    <xf numFmtId="169" fontId="0" fillId="0" borderId="9" xfId="1" applyNumberFormat="1" applyFont="1" applyBorder="1" applyAlignment="1">
      <alignment horizontal="center"/>
    </xf>
    <xf numFmtId="38" fontId="9" fillId="4" borderId="56" xfId="0" applyFont="1" applyFill="1" applyBorder="1" applyAlignment="1">
      <alignment horizontal="center" vertical="center"/>
    </xf>
    <xf numFmtId="193" fontId="4" fillId="4" borderId="37" xfId="0" applyNumberFormat="1" applyFont="1" applyFill="1" applyBorder="1"/>
    <xf numFmtId="193" fontId="4" fillId="4" borderId="36" xfId="0" applyNumberFormat="1" applyFont="1" applyFill="1" applyBorder="1"/>
    <xf numFmtId="173" fontId="4" fillId="4" borderId="32" xfId="0" applyNumberFormat="1" applyFont="1" applyFill="1" applyBorder="1"/>
    <xf numFmtId="173" fontId="4" fillId="4" borderId="37" xfId="0" applyNumberFormat="1" applyFont="1" applyFill="1" applyBorder="1"/>
    <xf numFmtId="173" fontId="4" fillId="4" borderId="36" xfId="0" applyNumberFormat="1" applyFont="1" applyFill="1" applyBorder="1"/>
    <xf numFmtId="174" fontId="3" fillId="0" borderId="43" xfId="0" applyNumberFormat="1" applyFont="1" applyFill="1" applyBorder="1" applyProtection="1">
      <protection locked="0"/>
    </xf>
    <xf numFmtId="174" fontId="3" fillId="0" borderId="43" xfId="0" applyNumberFormat="1" applyFont="1" applyFill="1" applyBorder="1"/>
    <xf numFmtId="174" fontId="3" fillId="0" borderId="41" xfId="0" applyNumberFormat="1" applyFont="1" applyFill="1" applyBorder="1" applyProtection="1">
      <protection locked="0"/>
    </xf>
    <xf numFmtId="174" fontId="24" fillId="0" borderId="13" xfId="0" applyNumberFormat="1" applyFont="1" applyFill="1" applyBorder="1" applyAlignment="1">
      <alignment horizontal="center"/>
    </xf>
    <xf numFmtId="174" fontId="4" fillId="4" borderId="28" xfId="0" applyNumberFormat="1" applyFont="1" applyFill="1" applyBorder="1"/>
    <xf numFmtId="38" fontId="5" fillId="4" borderId="72" xfId="0" applyNumberFormat="1" applyFont="1" applyFill="1" applyBorder="1"/>
    <xf numFmtId="38" fontId="5" fillId="4" borderId="65" xfId="0" applyNumberFormat="1" applyFont="1" applyFill="1" applyBorder="1"/>
    <xf numFmtId="38" fontId="5" fillId="4" borderId="74" xfId="0" applyNumberFormat="1" applyFont="1" applyFill="1" applyBorder="1"/>
    <xf numFmtId="174" fontId="5" fillId="4" borderId="30" xfId="0" applyNumberFormat="1" applyFont="1" applyFill="1" applyBorder="1"/>
    <xf numFmtId="174" fontId="4" fillId="4" borderId="37" xfId="0" applyNumberFormat="1" applyFont="1" applyFill="1" applyBorder="1" applyProtection="1">
      <protection locked="0"/>
    </xf>
    <xf numFmtId="173" fontId="5" fillId="0" borderId="29" xfId="0" applyNumberFormat="1" applyFont="1" applyFill="1" applyBorder="1" applyProtection="1">
      <protection locked="0"/>
    </xf>
    <xf numFmtId="166" fontId="3" fillId="0" borderId="9" xfId="2" applyNumberFormat="1" applyFont="1" applyFill="1" applyBorder="1" applyAlignment="1">
      <alignment horizontal="center"/>
    </xf>
    <xf numFmtId="169" fontId="0" fillId="0" borderId="9" xfId="1" applyNumberFormat="1" applyFont="1" applyFill="1" applyBorder="1" applyAlignment="1">
      <alignment horizontal="center"/>
    </xf>
    <xf numFmtId="38" fontId="5" fillId="0" borderId="12" xfId="0" applyFont="1" applyFill="1" applyBorder="1" applyProtection="1">
      <protection hidden="1"/>
    </xf>
    <xf numFmtId="38" fontId="5" fillId="0" borderId="28" xfId="0" applyFont="1" applyFill="1" applyBorder="1" applyProtection="1">
      <protection hidden="1"/>
    </xf>
    <xf numFmtId="38" fontId="5" fillId="0" borderId="3" xfId="0" applyFont="1" applyFill="1" applyBorder="1" applyProtection="1">
      <protection hidden="1"/>
    </xf>
    <xf numFmtId="38" fontId="5" fillId="0" borderId="11" xfId="0" applyFont="1" applyFill="1" applyBorder="1" applyProtection="1">
      <protection hidden="1"/>
    </xf>
    <xf numFmtId="38" fontId="5" fillId="0" borderId="8" xfId="0" applyFont="1" applyFill="1" applyBorder="1" applyProtection="1">
      <protection hidden="1"/>
    </xf>
    <xf numFmtId="38" fontId="5" fillId="0" borderId="27" xfId="0" applyFont="1" applyFill="1" applyBorder="1" applyProtection="1">
      <protection hidden="1"/>
    </xf>
    <xf numFmtId="173" fontId="5" fillId="0" borderId="29" xfId="0" applyNumberFormat="1" applyFont="1" applyFill="1" applyBorder="1" applyProtection="1">
      <protection locked="0" hidden="1"/>
    </xf>
    <xf numFmtId="173" fontId="5" fillId="0" borderId="4" xfId="0" applyNumberFormat="1" applyFont="1" applyFill="1" applyBorder="1" applyProtection="1">
      <protection locked="0" hidden="1"/>
    </xf>
    <xf numFmtId="173" fontId="5" fillId="0" borderId="31" xfId="0" applyNumberFormat="1" applyFont="1" applyFill="1" applyBorder="1" applyProtection="1">
      <protection locked="0" hidden="1"/>
    </xf>
    <xf numFmtId="172" fontId="5" fillId="0" borderId="29" xfId="0" applyNumberFormat="1" applyFont="1" applyFill="1" applyBorder="1" applyProtection="1">
      <protection locked="0"/>
    </xf>
    <xf numFmtId="172" fontId="5" fillId="0" borderId="9" xfId="0" applyNumberFormat="1" applyFont="1" applyFill="1" applyBorder="1" applyProtection="1">
      <protection locked="0"/>
    </xf>
    <xf numFmtId="172" fontId="5" fillId="0" borderId="13" xfId="0" applyNumberFormat="1" applyFont="1" applyFill="1" applyBorder="1" applyProtection="1">
      <protection locked="0"/>
    </xf>
    <xf numFmtId="172" fontId="4" fillId="4" borderId="48" xfId="0" applyNumberFormat="1" applyFont="1" applyFill="1" applyBorder="1"/>
    <xf numFmtId="172" fontId="4" fillId="4" borderId="44" xfId="0" applyNumberFormat="1" applyFont="1" applyFill="1" applyBorder="1"/>
    <xf numFmtId="172" fontId="4" fillId="4" borderId="50" xfId="0" applyNumberFormat="1" applyFont="1" applyFill="1" applyBorder="1"/>
    <xf numFmtId="172" fontId="5" fillId="0" borderId="28" xfId="0" applyNumberFormat="1" applyFont="1" applyFill="1" applyBorder="1" applyProtection="1">
      <protection locked="0"/>
    </xf>
    <xf numFmtId="172" fontId="5" fillId="0" borderId="11" xfId="0" applyNumberFormat="1" applyFont="1" applyFill="1" applyBorder="1" applyProtection="1">
      <protection locked="0"/>
    </xf>
    <xf numFmtId="172" fontId="5" fillId="0" borderId="27" xfId="0" applyNumberFormat="1" applyFont="1" applyFill="1" applyBorder="1" applyProtection="1">
      <protection locked="0"/>
    </xf>
    <xf numFmtId="172" fontId="4" fillId="4" borderId="72" xfId="0" applyNumberFormat="1" applyFont="1" applyFill="1" applyBorder="1"/>
    <xf numFmtId="172" fontId="4" fillId="4" borderId="30" xfId="0" applyNumberFormat="1" applyFont="1" applyFill="1" applyBorder="1"/>
    <xf numFmtId="172" fontId="4" fillId="4" borderId="45" xfId="0" applyNumberFormat="1" applyFont="1" applyFill="1" applyBorder="1"/>
    <xf numFmtId="173" fontId="4" fillId="4" borderId="57" xfId="0" applyNumberFormat="1" applyFont="1" applyFill="1" applyBorder="1" applyProtection="1">
      <protection hidden="1"/>
    </xf>
    <xf numFmtId="38" fontId="4" fillId="4" borderId="8" xfId="0" applyFont="1" applyFill="1" applyBorder="1" applyProtection="1">
      <protection hidden="1"/>
    </xf>
    <xf numFmtId="38" fontId="4" fillId="4" borderId="27" xfId="0" applyFont="1" applyFill="1" applyBorder="1" applyProtection="1">
      <protection hidden="1"/>
    </xf>
    <xf numFmtId="172" fontId="5" fillId="0" borderId="40" xfId="0" applyNumberFormat="1" applyFont="1" applyFill="1" applyBorder="1" applyProtection="1">
      <protection locked="0"/>
    </xf>
    <xf numFmtId="172" fontId="5" fillId="0" borderId="4" xfId="0" applyNumberFormat="1" applyFont="1" applyFill="1" applyBorder="1" applyProtection="1">
      <protection locked="0"/>
    </xf>
    <xf numFmtId="172" fontId="5" fillId="0" borderId="31" xfId="0" applyNumberFormat="1" applyFont="1" applyFill="1" applyBorder="1" applyProtection="1">
      <protection locked="0"/>
    </xf>
    <xf numFmtId="177" fontId="3" fillId="0" borderId="9" xfId="0" applyNumberFormat="1" applyFont="1" applyFill="1" applyBorder="1" applyProtection="1">
      <protection locked="0"/>
    </xf>
    <xf numFmtId="174" fontId="3" fillId="0" borderId="12" xfId="0" applyNumberFormat="1" applyFont="1" applyFill="1" applyBorder="1" applyAlignment="1">
      <alignment horizontal="right"/>
    </xf>
    <xf numFmtId="174" fontId="3" fillId="0" borderId="3" xfId="0" applyNumberFormat="1" applyFont="1" applyFill="1" applyBorder="1" applyAlignment="1">
      <alignment horizontal="right"/>
    </xf>
    <xf numFmtId="174" fontId="3" fillId="0" borderId="3" xfId="0" applyNumberFormat="1" applyFont="1" applyFill="1" applyBorder="1" applyAlignment="1" applyProtection="1">
      <alignment horizontal="right"/>
      <protection locked="0"/>
    </xf>
    <xf numFmtId="38" fontId="9" fillId="4" borderId="46" xfId="0" applyFont="1" applyFill="1" applyBorder="1" applyAlignment="1">
      <alignment horizontal="center" vertical="center"/>
    </xf>
    <xf numFmtId="38" fontId="3" fillId="4" borderId="30" xfId="0" applyFont="1" applyFill="1" applyBorder="1" applyAlignment="1">
      <alignment horizontal="center"/>
    </xf>
    <xf numFmtId="38" fontId="0" fillId="0" borderId="0" xfId="0" applyAlignment="1">
      <alignment horizontal="center"/>
    </xf>
    <xf numFmtId="190" fontId="0" fillId="0" borderId="0" xfId="0" applyNumberFormat="1"/>
    <xf numFmtId="38" fontId="9" fillId="4" borderId="46" xfId="0" applyFont="1" applyFill="1" applyBorder="1" applyAlignment="1">
      <alignment horizontal="center" vertical="center"/>
    </xf>
    <xf numFmtId="0" fontId="24" fillId="4" borderId="10" xfId="2" applyFont="1" applyFill="1" applyBorder="1" applyAlignment="1">
      <alignment horizontal="center" vertical="center"/>
    </xf>
    <xf numFmtId="183" fontId="24" fillId="0" borderId="4" xfId="1" applyNumberFormat="1" applyFont="1" applyFill="1" applyBorder="1" applyAlignment="1">
      <alignment horizontal="right" vertical="center"/>
    </xf>
    <xf numFmtId="3" fontId="24" fillId="4" borderId="30" xfId="2" applyNumberFormat="1" applyFont="1" applyFill="1" applyBorder="1" applyAlignment="1">
      <alignment horizontal="left" vertical="center"/>
    </xf>
    <xf numFmtId="38" fontId="9" fillId="0" borderId="0" xfId="0" applyFont="1" applyAlignment="1">
      <alignment horizontal="center" vertical="center"/>
    </xf>
    <xf numFmtId="190" fontId="9" fillId="0" borderId="0" xfId="0" applyNumberFormat="1" applyFont="1" applyAlignment="1">
      <alignment horizontal="center" vertical="center"/>
    </xf>
    <xf numFmtId="0" fontId="24" fillId="4" borderId="9" xfId="2" applyFont="1" applyFill="1" applyBorder="1" applyAlignment="1">
      <alignment horizontal="center"/>
    </xf>
    <xf numFmtId="166" fontId="3" fillId="0" borderId="0" xfId="3" applyNumberFormat="1" applyFont="1" applyFill="1" applyBorder="1" applyAlignment="1">
      <alignment horizontal="center"/>
    </xf>
    <xf numFmtId="166" fontId="3" fillId="0" borderId="14" xfId="3" applyNumberFormat="1" applyFont="1" applyFill="1" applyBorder="1" applyAlignment="1">
      <alignment horizontal="center"/>
    </xf>
    <xf numFmtId="38" fontId="9" fillId="4" borderId="9" xfId="0" applyFont="1" applyFill="1" applyBorder="1" applyAlignment="1">
      <alignment horizontal="center"/>
    </xf>
    <xf numFmtId="166" fontId="24" fillId="4" borderId="9" xfId="3" applyNumberFormat="1" applyFont="1" applyFill="1" applyBorder="1" applyAlignment="1">
      <alignment horizontal="center" vertical="center"/>
    </xf>
    <xf numFmtId="9" fontId="3" fillId="0" borderId="4" xfId="3" applyFont="1" applyFill="1" applyBorder="1" applyAlignment="1">
      <alignment horizontal="center" vertical="center"/>
    </xf>
    <xf numFmtId="9" fontId="3" fillId="0" borderId="9" xfId="3" applyFont="1" applyFill="1" applyBorder="1" applyAlignment="1">
      <alignment horizontal="center" vertical="center"/>
    </xf>
    <xf numFmtId="9" fontId="0" fillId="0" borderId="9" xfId="3" applyFont="1" applyBorder="1" applyAlignment="1">
      <alignment horizontal="center" vertical="center"/>
    </xf>
    <xf numFmtId="9" fontId="3" fillId="0" borderId="9" xfId="3" applyFont="1" applyBorder="1" applyAlignment="1">
      <alignment horizontal="center" vertical="center"/>
    </xf>
    <xf numFmtId="0" fontId="24" fillId="4" borderId="4" xfId="2" applyFont="1" applyFill="1" applyBorder="1" applyAlignment="1">
      <alignment horizontal="center" vertical="center"/>
    </xf>
    <xf numFmtId="38" fontId="0" fillId="4" borderId="9" xfId="0" applyFont="1" applyFill="1" applyBorder="1"/>
    <xf numFmtId="38" fontId="9" fillId="4" borderId="9" xfId="0" applyFont="1" applyFill="1" applyBorder="1" applyAlignment="1">
      <alignment horizontal="right" indent="1"/>
    </xf>
    <xf numFmtId="190" fontId="0" fillId="0" borderId="9" xfId="0" applyNumberFormat="1" applyBorder="1" applyAlignment="1">
      <alignment horizontal="center"/>
    </xf>
    <xf numFmtId="38" fontId="0" fillId="0" borderId="9" xfId="0" applyBorder="1" applyAlignment="1">
      <alignment horizontal="center"/>
    </xf>
    <xf numFmtId="38" fontId="9" fillId="4" borderId="9" xfId="0" applyFont="1" applyFill="1" applyBorder="1" applyAlignment="1">
      <alignment horizontal="right"/>
    </xf>
    <xf numFmtId="194" fontId="3" fillId="4" borderId="9" xfId="1" applyNumberFormat="1" applyFont="1" applyFill="1" applyBorder="1" applyAlignment="1">
      <alignment horizontal="center"/>
    </xf>
    <xf numFmtId="194" fontId="3" fillId="4" borderId="9" xfId="1" applyNumberFormat="1" applyFont="1" applyFill="1" applyBorder="1" applyAlignment="1">
      <alignment horizontal="right"/>
    </xf>
    <xf numFmtId="183" fontId="3" fillId="4" borderId="9" xfId="1" applyNumberFormat="1" applyFont="1" applyFill="1" applyBorder="1" applyAlignment="1">
      <alignment horizontal="right"/>
    </xf>
    <xf numFmtId="38" fontId="0" fillId="4" borderId="10" xfId="0" applyFill="1" applyBorder="1" applyAlignment="1">
      <alignment horizontal="center"/>
    </xf>
    <xf numFmtId="38" fontId="0" fillId="4" borderId="30" xfId="0" applyFill="1" applyBorder="1" applyAlignment="1">
      <alignment horizontal="left"/>
    </xf>
    <xf numFmtId="166" fontId="28" fillId="4" borderId="9" xfId="3" applyNumberFormat="1" applyFont="1" applyFill="1" applyBorder="1" applyAlignment="1">
      <alignment horizontal="center" vertical="center"/>
    </xf>
    <xf numFmtId="188" fontId="3" fillId="4" borderId="9" xfId="1" applyNumberFormat="1" applyFont="1" applyFill="1" applyBorder="1" applyAlignment="1">
      <alignment horizontal="center"/>
    </xf>
    <xf numFmtId="38" fontId="24" fillId="4" borderId="30" xfId="0" applyFont="1" applyFill="1" applyBorder="1" applyAlignment="1">
      <alignment horizontal="center"/>
    </xf>
    <xf numFmtId="38" fontId="9" fillId="4" borderId="67" xfId="0" applyFont="1" applyFill="1" applyBorder="1" applyAlignment="1">
      <alignment horizontal="center" vertical="center"/>
    </xf>
    <xf numFmtId="174" fontId="3" fillId="4" borderId="10" xfId="0" applyNumberFormat="1" applyFont="1" applyFill="1" applyBorder="1" applyAlignment="1">
      <alignment horizontal="center" vertical="center" wrapText="1"/>
    </xf>
    <xf numFmtId="166" fontId="3" fillId="0" borderId="0" xfId="3" applyNumberFormat="1" applyFont="1" applyFill="1" applyBorder="1" applyAlignment="1">
      <alignment horizontal="left"/>
    </xf>
    <xf numFmtId="183" fontId="3" fillId="0" borderId="0" xfId="2" applyNumberFormat="1" applyFont="1"/>
    <xf numFmtId="183" fontId="3" fillId="0" borderId="0" xfId="1" applyNumberFormat="1" applyFont="1" applyFill="1" applyBorder="1" applyAlignment="1">
      <alignment horizontal="center"/>
    </xf>
    <xf numFmtId="183" fontId="3" fillId="0" borderId="0" xfId="1" applyNumberFormat="1" applyFont="1"/>
    <xf numFmtId="183" fontId="3" fillId="0" borderId="0" xfId="1" applyNumberFormat="1" applyFont="1" applyFill="1" applyBorder="1" applyAlignment="1">
      <alignment horizontal="right"/>
    </xf>
    <xf numFmtId="194" fontId="0" fillId="0" borderId="0" xfId="1" applyNumberFormat="1" applyFont="1"/>
    <xf numFmtId="194" fontId="3" fillId="0" borderId="0" xfId="1" applyNumberFormat="1" applyFont="1" applyFill="1" applyBorder="1" applyAlignment="1">
      <alignment horizontal="center"/>
    </xf>
    <xf numFmtId="194" fontId="3" fillId="0" borderId="0" xfId="1" applyNumberFormat="1" applyFont="1" applyFill="1" applyBorder="1" applyAlignment="1">
      <alignment horizontal="right"/>
    </xf>
    <xf numFmtId="194" fontId="0" fillId="4" borderId="9" xfId="1" applyNumberFormat="1" applyFont="1" applyFill="1" applyBorder="1"/>
    <xf numFmtId="9" fontId="0" fillId="4" borderId="9" xfId="3" applyFont="1" applyFill="1" applyBorder="1" applyAlignment="1">
      <alignment horizontal="center"/>
    </xf>
    <xf numFmtId="38" fontId="0" fillId="0" borderId="0" xfId="0" applyFill="1" applyAlignment="1">
      <alignment horizontal="left"/>
    </xf>
    <xf numFmtId="0" fontId="3" fillId="0" borderId="0" xfId="2" applyFont="1" applyFill="1"/>
    <xf numFmtId="183" fontId="0" fillId="0" borderId="0" xfId="1" applyNumberFormat="1" applyFont="1" applyFill="1" applyAlignment="1">
      <alignment horizontal="right"/>
    </xf>
    <xf numFmtId="183" fontId="3" fillId="0" borderId="0" xfId="1" applyNumberFormat="1" applyFont="1" applyFill="1" applyAlignment="1">
      <alignment horizontal="right"/>
    </xf>
    <xf numFmtId="183" fontId="0" fillId="0" borderId="0" xfId="1" applyNumberFormat="1" applyFont="1" applyFill="1"/>
    <xf numFmtId="183" fontId="3" fillId="0" borderId="0" xfId="1" applyNumberFormat="1" applyFont="1" applyFill="1"/>
    <xf numFmtId="166" fontId="3" fillId="4" borderId="9" xfId="3" applyNumberFormat="1" applyFont="1" applyFill="1" applyBorder="1" applyAlignment="1">
      <alignment horizontal="right"/>
    </xf>
    <xf numFmtId="38" fontId="0" fillId="4" borderId="65" xfId="0" applyFont="1" applyFill="1" applyBorder="1" applyAlignment="1">
      <alignment horizontal="left" vertical="center"/>
    </xf>
    <xf numFmtId="183" fontId="3" fillId="4" borderId="9" xfId="1" applyNumberFormat="1" applyFont="1" applyFill="1" applyBorder="1" applyAlignment="1"/>
    <xf numFmtId="183" fontId="3" fillId="4" borderId="9" xfId="0" applyNumberFormat="1" applyFont="1" applyFill="1" applyBorder="1"/>
    <xf numFmtId="166" fontId="28" fillId="4" borderId="9" xfId="3" applyNumberFormat="1" applyFont="1" applyFill="1" applyBorder="1" applyAlignment="1">
      <alignment horizontal="center" vertical="center"/>
    </xf>
    <xf numFmtId="38" fontId="0" fillId="4" borderId="9" xfId="0" applyFill="1" applyBorder="1" applyAlignment="1">
      <alignment horizontal="left"/>
    </xf>
    <xf numFmtId="166" fontId="28" fillId="4" borderId="9" xfId="3" applyNumberFormat="1" applyFont="1" applyFill="1" applyBorder="1" applyAlignment="1">
      <alignment horizontal="center" vertical="center"/>
    </xf>
    <xf numFmtId="38" fontId="9" fillId="4" borderId="9" xfId="0" applyFont="1" applyFill="1" applyBorder="1" applyAlignment="1">
      <alignment horizontal="center" vertical="center"/>
    </xf>
    <xf numFmtId="38" fontId="0" fillId="0" borderId="0" xfId="0" applyFill="1" applyBorder="1" applyAlignment="1">
      <alignment horizontal="left"/>
    </xf>
    <xf numFmtId="38" fontId="3" fillId="0" borderId="0" xfId="2" applyNumberFormat="1"/>
    <xf numFmtId="194" fontId="0" fillId="0" borderId="0" xfId="1" applyNumberFormat="1" applyFont="1" applyFill="1" applyBorder="1" applyAlignment="1">
      <alignment horizontal="center"/>
    </xf>
    <xf numFmtId="166" fontId="3" fillId="0" borderId="0" xfId="3" applyNumberFormat="1" applyFont="1" applyFill="1" applyBorder="1" applyAlignment="1">
      <alignment horizontal="right"/>
    </xf>
    <xf numFmtId="38" fontId="3" fillId="0" borderId="9" xfId="2" applyNumberFormat="1" applyBorder="1"/>
    <xf numFmtId="183" fontId="3" fillId="0" borderId="9" xfId="2" applyNumberFormat="1" applyFont="1" applyBorder="1"/>
    <xf numFmtId="0" fontId="3" fillId="0" borderId="9" xfId="2" applyBorder="1"/>
    <xf numFmtId="166" fontId="3" fillId="4" borderId="9" xfId="3" applyNumberFormat="1" applyFont="1" applyFill="1" applyBorder="1" applyAlignment="1">
      <alignment horizontal="left"/>
    </xf>
    <xf numFmtId="0" fontId="3" fillId="4" borderId="9" xfId="2" applyFont="1" applyFill="1" applyBorder="1"/>
    <xf numFmtId="183" fontId="0" fillId="4" borderId="9" xfId="1" applyNumberFormat="1" applyFont="1" applyFill="1" applyBorder="1" applyAlignment="1">
      <alignment horizontal="right"/>
    </xf>
    <xf numFmtId="0" fontId="3" fillId="0" borderId="9" xfId="2" applyFont="1" applyBorder="1" applyAlignment="1">
      <alignment horizontal="center" vertical="center"/>
    </xf>
    <xf numFmtId="0" fontId="3" fillId="0" borderId="9" xfId="2" applyBorder="1" applyAlignment="1">
      <alignment horizontal="center"/>
    </xf>
    <xf numFmtId="183" fontId="3" fillId="0" borderId="9" xfId="2" applyNumberFormat="1" applyBorder="1"/>
    <xf numFmtId="194" fontId="29" fillId="4" borderId="9" xfId="1" applyNumberFormat="1" applyFont="1" applyFill="1" applyBorder="1"/>
    <xf numFmtId="194" fontId="20" fillId="4" borderId="9" xfId="1" applyNumberFormat="1" applyFont="1" applyFill="1" applyBorder="1"/>
    <xf numFmtId="194" fontId="0" fillId="0" borderId="9" xfId="1" applyNumberFormat="1" applyFont="1" applyBorder="1"/>
    <xf numFmtId="166" fontId="28" fillId="4" borderId="9" xfId="3" applyNumberFormat="1" applyFont="1" applyFill="1" applyBorder="1" applyAlignment="1">
      <alignment horizontal="center" vertical="center"/>
    </xf>
    <xf numFmtId="166" fontId="3" fillId="0" borderId="0" xfId="3" applyNumberFormat="1" applyFont="1"/>
    <xf numFmtId="188" fontId="3" fillId="0" borderId="0" xfId="1" applyNumberFormat="1"/>
    <xf numFmtId="0" fontId="3" fillId="4" borderId="9" xfId="2" applyFont="1" applyFill="1" applyBorder="1" applyAlignment="1">
      <alignment horizontal="center" vertical="center"/>
    </xf>
    <xf numFmtId="169" fontId="3" fillId="4" borderId="9" xfId="2" applyNumberFormat="1" applyFont="1" applyFill="1" applyBorder="1" applyAlignment="1">
      <alignment horizontal="center" vertical="center"/>
    </xf>
    <xf numFmtId="38" fontId="3" fillId="4" borderId="4" xfId="0" applyFont="1" applyFill="1" applyBorder="1" applyAlignment="1">
      <alignment horizontal="center" vertical="center"/>
    </xf>
    <xf numFmtId="38" fontId="3" fillId="4" borderId="9" xfId="2" applyNumberFormat="1" applyFont="1" applyFill="1" applyBorder="1" applyAlignment="1">
      <alignment horizontal="center" vertical="center"/>
    </xf>
    <xf numFmtId="0" fontId="24" fillId="4" borderId="9" xfId="2" applyFont="1" applyFill="1" applyBorder="1" applyAlignment="1">
      <alignment horizontal="center" vertical="center"/>
    </xf>
    <xf numFmtId="166" fontId="28" fillId="6" borderId="9" xfId="2" applyNumberFormat="1" applyFont="1" applyFill="1" applyBorder="1" applyAlignment="1">
      <alignment horizontal="center" vertical="center"/>
    </xf>
    <xf numFmtId="0" fontId="28" fillId="6" borderId="9" xfId="2" applyFont="1" applyFill="1" applyBorder="1" applyAlignment="1">
      <alignment horizontal="center" vertical="center"/>
    </xf>
    <xf numFmtId="0" fontId="3" fillId="6" borderId="9" xfId="2" applyFill="1" applyBorder="1" applyAlignment="1">
      <alignment horizontal="left" vertical="center"/>
    </xf>
    <xf numFmtId="166" fontId="3" fillId="6" borderId="9" xfId="3" applyNumberFormat="1" applyFont="1" applyFill="1" applyBorder="1" applyAlignment="1">
      <alignment horizontal="center" vertical="center"/>
    </xf>
    <xf numFmtId="183" fontId="3" fillId="6" borderId="9" xfId="2" applyNumberFormat="1" applyFill="1" applyBorder="1" applyAlignment="1">
      <alignment horizontal="center" vertical="center"/>
    </xf>
    <xf numFmtId="169" fontId="3" fillId="7" borderId="9" xfId="2" applyNumberFormat="1" applyFont="1" applyFill="1" applyBorder="1" applyAlignment="1">
      <alignment horizontal="center"/>
    </xf>
    <xf numFmtId="9" fontId="3" fillId="7" borderId="9" xfId="3" applyFont="1" applyFill="1" applyBorder="1" applyAlignment="1">
      <alignment horizontal="center"/>
    </xf>
    <xf numFmtId="38" fontId="0" fillId="4" borderId="10" xfId="0" applyFont="1" applyFill="1" applyBorder="1" applyAlignment="1">
      <alignment vertical="center"/>
    </xf>
    <xf numFmtId="0" fontId="3" fillId="4" borderId="10" xfId="2" applyFill="1" applyBorder="1" applyAlignment="1">
      <alignment vertical="center"/>
    </xf>
    <xf numFmtId="38" fontId="0" fillId="4" borderId="10" xfId="0" applyFill="1" applyBorder="1" applyAlignment="1">
      <alignment vertical="center"/>
    </xf>
    <xf numFmtId="38" fontId="3" fillId="4" borderId="30" xfId="0" applyFont="1" applyFill="1" applyBorder="1" applyAlignment="1" applyProtection="1">
      <alignment horizontal="left" vertical="center"/>
    </xf>
    <xf numFmtId="38" fontId="3" fillId="4" borderId="10" xfId="0" applyFont="1" applyFill="1" applyBorder="1" applyAlignment="1" applyProtection="1">
      <alignment horizontal="center" vertical="center"/>
    </xf>
    <xf numFmtId="38" fontId="0" fillId="4" borderId="10" xfId="0" applyFont="1" applyFill="1" applyBorder="1" applyAlignment="1">
      <alignment horizontal="center" vertical="center"/>
    </xf>
    <xf numFmtId="38" fontId="3" fillId="0" borderId="4" xfId="0" applyNumberFormat="1" applyFont="1" applyFill="1" applyBorder="1" applyAlignment="1" applyProtection="1">
      <alignment horizontal="center" vertical="center"/>
      <protection locked="0"/>
    </xf>
    <xf numFmtId="178" fontId="24" fillId="4" borderId="9" xfId="0" applyNumberFormat="1" applyFont="1" applyFill="1" applyBorder="1" applyAlignment="1" applyProtection="1">
      <alignment horizontal="center"/>
    </xf>
    <xf numFmtId="38" fontId="3" fillId="4" borderId="9" xfId="0" applyNumberFormat="1" applyFont="1" applyFill="1" applyBorder="1" applyAlignment="1">
      <alignment vertical="center"/>
    </xf>
    <xf numFmtId="38" fontId="3" fillId="4" borderId="9" xfId="0" applyFont="1" applyFill="1" applyBorder="1" applyAlignment="1">
      <alignment vertical="center"/>
    </xf>
    <xf numFmtId="38" fontId="3" fillId="4" borderId="9" xfId="0" applyFont="1" applyFill="1" applyBorder="1" applyProtection="1"/>
    <xf numFmtId="38" fontId="24" fillId="4" borderId="9" xfId="0" applyNumberFormat="1" applyFont="1" applyFill="1" applyBorder="1" applyAlignment="1" applyProtection="1">
      <alignment horizontal="center" vertical="center"/>
    </xf>
    <xf numFmtId="38" fontId="24" fillId="4" borderId="9" xfId="0" applyFont="1" applyFill="1" applyBorder="1" applyAlignment="1">
      <alignment horizontal="center" vertical="center"/>
    </xf>
    <xf numFmtId="38" fontId="24" fillId="4" borderId="9" xfId="0" applyFont="1" applyFill="1" applyBorder="1" applyAlignment="1">
      <alignment horizontal="center"/>
    </xf>
    <xf numFmtId="166" fontId="24" fillId="4" borderId="9" xfId="0" applyNumberFormat="1" applyFont="1" applyFill="1" applyBorder="1" applyAlignment="1">
      <alignment horizontal="center"/>
    </xf>
    <xf numFmtId="3" fontId="24" fillId="4" borderId="9" xfId="0" applyNumberFormat="1" applyFont="1" applyFill="1" applyBorder="1" applyAlignment="1">
      <alignment horizontal="center"/>
    </xf>
    <xf numFmtId="170" fontId="24" fillId="4" borderId="9" xfId="0" applyNumberFormat="1" applyFont="1" applyFill="1" applyBorder="1" applyAlignment="1" applyProtection="1">
      <alignment horizontal="center"/>
    </xf>
    <xf numFmtId="38" fontId="24" fillId="4" borderId="9" xfId="0" applyFont="1" applyFill="1" applyBorder="1" applyAlignment="1" applyProtection="1">
      <alignment horizontal="center"/>
    </xf>
    <xf numFmtId="38" fontId="24" fillId="4" borderId="9" xfId="0" applyFont="1" applyFill="1" applyBorder="1" applyAlignment="1">
      <alignment horizontal="left"/>
    </xf>
    <xf numFmtId="183" fontId="24" fillId="4" borderId="9" xfId="0" applyNumberFormat="1" applyFont="1" applyFill="1" applyBorder="1" applyAlignment="1">
      <alignment horizontal="right"/>
    </xf>
    <xf numFmtId="38" fontId="24" fillId="4" borderId="9" xfId="0" applyFont="1" applyFill="1" applyBorder="1" applyAlignment="1" applyProtection="1">
      <alignment horizontal="center" vertical="center"/>
    </xf>
    <xf numFmtId="38" fontId="24" fillId="4" borderId="9" xfId="0" applyFont="1" applyFill="1" applyBorder="1" applyAlignment="1">
      <alignment horizontal="left" vertical="center"/>
    </xf>
    <xf numFmtId="174" fontId="3" fillId="4" borderId="9" xfId="0" applyNumberFormat="1" applyFont="1" applyFill="1" applyBorder="1" applyAlignment="1">
      <alignment horizontal="right" vertical="center"/>
    </xf>
    <xf numFmtId="183" fontId="24" fillId="4" borderId="9" xfId="0" applyNumberFormat="1" applyFont="1" applyFill="1" applyBorder="1" applyAlignment="1">
      <alignment horizontal="right" vertical="center"/>
    </xf>
    <xf numFmtId="178" fontId="24" fillId="4" borderId="9" xfId="0" applyNumberFormat="1" applyFont="1" applyFill="1" applyBorder="1" applyAlignment="1" applyProtection="1">
      <alignment horizontal="center" vertical="center"/>
    </xf>
    <xf numFmtId="38" fontId="3" fillId="4" borderId="9" xfId="0" applyNumberFormat="1" applyFont="1" applyFill="1" applyBorder="1" applyAlignment="1">
      <alignment horizontal="center" vertical="center"/>
    </xf>
    <xf numFmtId="38" fontId="3" fillId="4" borderId="9" xfId="0" applyFont="1" applyFill="1" applyBorder="1" applyAlignment="1">
      <alignment horizontal="center" vertical="center"/>
    </xf>
    <xf numFmtId="38" fontId="3" fillId="4" borderId="9" xfId="0" applyFont="1" applyFill="1" applyBorder="1" applyAlignment="1" applyProtection="1">
      <alignment vertical="center"/>
    </xf>
    <xf numFmtId="38" fontId="24" fillId="4" borderId="9" xfId="0" applyNumberFormat="1" applyFont="1" applyFill="1" applyBorder="1" applyAlignment="1" applyProtection="1">
      <alignment horizontal="center" vertical="center" wrapText="1"/>
    </xf>
    <xf numFmtId="166" fontId="24" fillId="4" borderId="9" xfId="0" applyNumberFormat="1" applyFont="1" applyFill="1" applyBorder="1" applyAlignment="1">
      <alignment horizontal="center" vertical="center"/>
    </xf>
    <xf numFmtId="3" fontId="24" fillId="4" borderId="9" xfId="0" applyNumberFormat="1" applyFont="1" applyFill="1" applyBorder="1" applyAlignment="1">
      <alignment horizontal="center" vertical="center"/>
    </xf>
    <xf numFmtId="170" fontId="24" fillId="4" borderId="9" xfId="0" applyNumberFormat="1" applyFont="1" applyFill="1" applyBorder="1" applyAlignment="1" applyProtection="1">
      <alignment horizontal="center" vertical="center"/>
    </xf>
    <xf numFmtId="38" fontId="24" fillId="4" borderId="9" xfId="0" applyNumberFormat="1" applyFont="1" applyFill="1" applyBorder="1" applyAlignment="1">
      <alignment horizontal="right"/>
    </xf>
    <xf numFmtId="190" fontId="5" fillId="0" borderId="0" xfId="1" applyNumberFormat="1" applyFont="1" applyFill="1"/>
    <xf numFmtId="190" fontId="5" fillId="0" borderId="0" xfId="0" applyNumberFormat="1" applyFont="1" applyFill="1"/>
    <xf numFmtId="166" fontId="5" fillId="0" borderId="0" xfId="3" applyNumberFormat="1" applyFont="1" applyFill="1"/>
    <xf numFmtId="3" fontId="3" fillId="4" borderId="9" xfId="2" applyNumberFormat="1" applyFont="1" applyFill="1" applyBorder="1" applyAlignment="1">
      <alignment horizontal="left" vertical="center"/>
    </xf>
    <xf numFmtId="0" fontId="3" fillId="3" borderId="9" xfId="2" applyFont="1" applyFill="1" applyBorder="1" applyAlignment="1">
      <alignment horizontal="center" vertical="center"/>
    </xf>
    <xf numFmtId="183" fontId="3" fillId="4" borderId="9" xfId="1" applyNumberFormat="1" applyFont="1" applyFill="1" applyBorder="1" applyAlignment="1">
      <alignment horizontal="center" vertical="center"/>
    </xf>
    <xf numFmtId="183" fontId="3" fillId="0" borderId="9" xfId="1" applyNumberFormat="1" applyFont="1" applyFill="1" applyBorder="1" applyAlignment="1">
      <alignment horizontal="center" vertical="center"/>
    </xf>
    <xf numFmtId="3" fontId="41" fillId="4" borderId="9" xfId="2" applyNumberFormat="1" applyFont="1" applyFill="1" applyBorder="1" applyAlignment="1">
      <alignment horizontal="left" vertical="center"/>
    </xf>
    <xf numFmtId="174" fontId="5" fillId="4" borderId="42" xfId="0" applyNumberFormat="1" applyFont="1" applyFill="1" applyBorder="1"/>
    <xf numFmtId="173" fontId="5" fillId="4" borderId="18" xfId="0" applyNumberFormat="1" applyFont="1" applyFill="1" applyBorder="1"/>
    <xf numFmtId="38" fontId="9" fillId="4" borderId="9" xfId="0" applyFont="1" applyFill="1" applyBorder="1" applyAlignment="1">
      <alignment horizontal="center" vertical="center"/>
    </xf>
    <xf numFmtId="3" fontId="3" fillId="4" borderId="30" xfId="2" applyNumberFormat="1" applyFont="1" applyFill="1" applyBorder="1" applyAlignment="1">
      <alignment horizontal="left" vertical="center"/>
    </xf>
    <xf numFmtId="0" fontId="3" fillId="4" borderId="10" xfId="2" applyFont="1" applyFill="1" applyBorder="1" applyAlignment="1">
      <alignment horizontal="center" vertical="center"/>
    </xf>
    <xf numFmtId="0" fontId="32" fillId="4" borderId="30" xfId="2" applyFont="1" applyFill="1" applyBorder="1" applyAlignment="1">
      <alignment vertical="center"/>
    </xf>
    <xf numFmtId="0" fontId="32" fillId="4" borderId="10" xfId="2" applyFont="1" applyFill="1" applyBorder="1" applyAlignment="1">
      <alignment vertical="center"/>
    </xf>
    <xf numFmtId="38" fontId="38" fillId="4" borderId="10" xfId="0" applyFont="1" applyFill="1" applyBorder="1" applyAlignment="1">
      <alignment horizontal="center" vertical="center"/>
    </xf>
    <xf numFmtId="0" fontId="3" fillId="4" borderId="30" xfId="2" applyFont="1" applyFill="1" applyBorder="1" applyAlignment="1">
      <alignment vertical="center"/>
    </xf>
    <xf numFmtId="0" fontId="3" fillId="4" borderId="10" xfId="2" applyFont="1" applyFill="1" applyBorder="1" applyAlignment="1">
      <alignment vertical="center"/>
    </xf>
    <xf numFmtId="0" fontId="41" fillId="4" borderId="65" xfId="2" applyFont="1" applyFill="1" applyBorder="1" applyAlignment="1">
      <alignment vertical="center"/>
    </xf>
    <xf numFmtId="0" fontId="3" fillId="4" borderId="46" xfId="2" applyFont="1" applyFill="1" applyBorder="1" applyAlignment="1">
      <alignment vertical="center"/>
    </xf>
    <xf numFmtId="38" fontId="38" fillId="4" borderId="0" xfId="0" applyFont="1" applyFill="1" applyBorder="1" applyAlignment="1">
      <alignment horizontal="center" vertical="center"/>
    </xf>
    <xf numFmtId="38" fontId="3" fillId="4" borderId="30" xfId="0" applyNumberFormat="1" applyFont="1" applyFill="1" applyBorder="1" applyAlignment="1" applyProtection="1">
      <alignment vertical="center"/>
    </xf>
    <xf numFmtId="190" fontId="9" fillId="4" borderId="9" xfId="0" applyNumberFormat="1" applyFont="1" applyFill="1" applyBorder="1" applyAlignment="1">
      <alignment horizontal="center" vertical="center"/>
    </xf>
    <xf numFmtId="174" fontId="4" fillId="4" borderId="27" xfId="0" applyNumberFormat="1" applyFont="1" applyFill="1" applyBorder="1" applyProtection="1">
      <protection locked="0"/>
    </xf>
    <xf numFmtId="174" fontId="4" fillId="4" borderId="28" xfId="0" applyNumberFormat="1" applyFont="1" applyFill="1" applyBorder="1" applyProtection="1">
      <protection locked="0"/>
    </xf>
    <xf numFmtId="174" fontId="4" fillId="4" borderId="11" xfId="0" applyNumberFormat="1" applyFont="1" applyFill="1" applyBorder="1" applyProtection="1">
      <protection locked="0"/>
    </xf>
    <xf numFmtId="166" fontId="0" fillId="0" borderId="0" xfId="3" applyNumberFormat="1" applyFont="1"/>
    <xf numFmtId="1" fontId="0" fillId="0" borderId="0" xfId="3" applyNumberFormat="1" applyFont="1"/>
    <xf numFmtId="166" fontId="3" fillId="4" borderId="10" xfId="0" applyNumberFormat="1" applyFont="1" applyFill="1" applyBorder="1" applyAlignment="1" applyProtection="1">
      <alignment horizontal="center"/>
    </xf>
    <xf numFmtId="0" fontId="1" fillId="0" borderId="0" xfId="13"/>
    <xf numFmtId="0" fontId="45" fillId="0" borderId="9" xfId="13" applyNumberFormat="1" applyFont="1" applyFill="1" applyBorder="1" applyAlignment="1" applyProtection="1">
      <alignment horizontal="center"/>
    </xf>
    <xf numFmtId="0" fontId="45" fillId="0" borderId="63" xfId="13" applyNumberFormat="1" applyFont="1" applyFill="1" applyBorder="1" applyAlignment="1" applyProtection="1"/>
    <xf numFmtId="0" fontId="46" fillId="0" borderId="0" xfId="13" applyNumberFormat="1" applyFont="1" applyFill="1" applyBorder="1" applyAlignment="1" applyProtection="1">
      <alignment vertical="center" wrapText="1"/>
    </xf>
    <xf numFmtId="0" fontId="46" fillId="0" borderId="0" xfId="13" applyNumberFormat="1" applyFont="1" applyFill="1" applyBorder="1" applyAlignment="1" applyProtection="1"/>
    <xf numFmtId="0" fontId="45" fillId="8" borderId="9" xfId="13" applyNumberFormat="1" applyFont="1" applyFill="1" applyBorder="1" applyAlignment="1" applyProtection="1">
      <alignment horizontal="center"/>
    </xf>
    <xf numFmtId="0" fontId="45" fillId="8" borderId="4" xfId="13" applyNumberFormat="1" applyFont="1" applyFill="1" applyBorder="1" applyAlignment="1" applyProtection="1">
      <alignment horizontal="center"/>
    </xf>
    <xf numFmtId="0" fontId="45" fillId="0" borderId="0" xfId="13" applyNumberFormat="1" applyFont="1" applyFill="1" applyBorder="1" applyAlignment="1" applyProtection="1"/>
    <xf numFmtId="0" fontId="46" fillId="0" borderId="9" xfId="13" applyNumberFormat="1" applyFont="1" applyFill="1" applyBorder="1" applyAlignment="1" applyProtection="1"/>
    <xf numFmtId="4" fontId="46" fillId="0" borderId="0" xfId="13" applyNumberFormat="1" applyFont="1" applyFill="1" applyBorder="1" applyAlignment="1" applyProtection="1"/>
    <xf numFmtId="0" fontId="1" fillId="0" borderId="9" xfId="13" applyBorder="1"/>
    <xf numFmtId="0" fontId="45" fillId="0" borderId="9" xfId="13" applyNumberFormat="1" applyFont="1" applyFill="1" applyBorder="1" applyAlignment="1" applyProtection="1"/>
    <xf numFmtId="4" fontId="46" fillId="0" borderId="9" xfId="13" applyNumberFormat="1" applyFont="1" applyFill="1" applyBorder="1" applyAlignment="1" applyProtection="1"/>
    <xf numFmtId="0" fontId="46" fillId="0" borderId="30" xfId="13" applyNumberFormat="1" applyFont="1" applyFill="1" applyBorder="1" applyAlignment="1" applyProtection="1"/>
    <xf numFmtId="4" fontId="46" fillId="0" borderId="4" xfId="13" applyNumberFormat="1" applyFont="1" applyFill="1" applyBorder="1" applyAlignment="1" applyProtection="1"/>
    <xf numFmtId="4" fontId="46" fillId="0" borderId="56" xfId="13" applyNumberFormat="1" applyFont="1" applyFill="1" applyBorder="1" applyAlignment="1" applyProtection="1"/>
    <xf numFmtId="4" fontId="46" fillId="0" borderId="30" xfId="13" applyNumberFormat="1" applyFont="1" applyFill="1" applyBorder="1" applyAlignment="1" applyProtection="1"/>
    <xf numFmtId="0" fontId="45" fillId="0" borderId="30" xfId="13" applyNumberFormat="1" applyFont="1" applyFill="1" applyBorder="1" applyAlignment="1" applyProtection="1"/>
    <xf numFmtId="10" fontId="46" fillId="0" borderId="9" xfId="14" applyNumberFormat="1" applyFont="1" applyFill="1" applyBorder="1" applyAlignment="1" applyProtection="1"/>
    <xf numFmtId="4" fontId="46" fillId="8" borderId="9" xfId="13" applyNumberFormat="1" applyFont="1" applyFill="1" applyBorder="1" applyAlignment="1" applyProtection="1"/>
    <xf numFmtId="196" fontId="46" fillId="0" borderId="9" xfId="14" applyNumberFormat="1" applyFont="1" applyFill="1" applyBorder="1" applyAlignment="1" applyProtection="1"/>
    <xf numFmtId="197" fontId="46" fillId="0" borderId="9" xfId="14" applyNumberFormat="1" applyFont="1" applyFill="1" applyBorder="1" applyAlignment="1" applyProtection="1"/>
    <xf numFmtId="9" fontId="46" fillId="0" borderId="9" xfId="14" applyNumberFormat="1" applyFont="1" applyFill="1" applyBorder="1" applyAlignment="1" applyProtection="1"/>
    <xf numFmtId="9" fontId="46" fillId="0" borderId="9" xfId="14" applyFont="1" applyFill="1" applyBorder="1" applyAlignment="1" applyProtection="1"/>
    <xf numFmtId="4" fontId="46" fillId="0" borderId="77" xfId="13" applyNumberFormat="1" applyFont="1" applyFill="1" applyBorder="1" applyAlignment="1" applyProtection="1"/>
    <xf numFmtId="0" fontId="47" fillId="0" borderId="0" xfId="13" applyNumberFormat="1" applyFont="1" applyFill="1" applyBorder="1" applyAlignment="1" applyProtection="1"/>
    <xf numFmtId="0" fontId="48" fillId="0" borderId="30" xfId="13" applyNumberFormat="1" applyFont="1" applyFill="1" applyBorder="1" applyAlignment="1" applyProtection="1"/>
    <xf numFmtId="0" fontId="1" fillId="0" borderId="0" xfId="13" applyAlignment="1">
      <alignment wrapText="1"/>
    </xf>
    <xf numFmtId="0" fontId="1" fillId="0" borderId="0" xfId="13" applyAlignment="1">
      <alignment horizontal="center" vertical="center" wrapText="1"/>
    </xf>
    <xf numFmtId="0" fontId="49" fillId="0" borderId="0" xfId="13" applyFont="1" applyAlignment="1">
      <alignment horizontal="center" vertical="center"/>
    </xf>
    <xf numFmtId="0" fontId="50" fillId="0" borderId="0" xfId="13" applyFont="1"/>
    <xf numFmtId="0" fontId="1" fillId="0" borderId="0" xfId="13" applyAlignment="1">
      <alignment vertical="center" wrapText="1"/>
    </xf>
    <xf numFmtId="0" fontId="1" fillId="0" borderId="76" xfId="13" applyBorder="1"/>
    <xf numFmtId="0" fontId="1" fillId="0" borderId="67" xfId="13" applyBorder="1" applyAlignment="1">
      <alignment vertical="center" wrapText="1"/>
    </xf>
    <xf numFmtId="0" fontId="1" fillId="0" borderId="67" xfId="13" applyBorder="1"/>
    <xf numFmtId="0" fontId="1" fillId="0" borderId="54" xfId="13" applyBorder="1" applyAlignment="1">
      <alignment vertical="center" wrapText="1"/>
    </xf>
    <xf numFmtId="0" fontId="1" fillId="0" borderId="0" xfId="13" applyBorder="1" applyAlignment="1">
      <alignment vertical="center" wrapText="1"/>
    </xf>
    <xf numFmtId="0" fontId="1" fillId="0" borderId="71" xfId="13" applyBorder="1" applyAlignment="1">
      <alignment vertical="center" wrapText="1"/>
    </xf>
    <xf numFmtId="0" fontId="1" fillId="0" borderId="62" xfId="13" applyBorder="1" applyAlignment="1">
      <alignment vertical="center" wrapText="1"/>
    </xf>
    <xf numFmtId="196" fontId="0" fillId="0" borderId="0" xfId="14" applyNumberFormat="1" applyFont="1" applyBorder="1" applyAlignment="1">
      <alignment vertical="center" wrapText="1"/>
    </xf>
    <xf numFmtId="0" fontId="51" fillId="0" borderId="0" xfId="13" applyFont="1" applyBorder="1" applyAlignment="1">
      <alignment vertical="center" wrapText="1"/>
    </xf>
    <xf numFmtId="196" fontId="1" fillId="0" borderId="0" xfId="13" applyNumberFormat="1" applyBorder="1" applyAlignment="1">
      <alignment vertical="center" wrapText="1"/>
    </xf>
    <xf numFmtId="196" fontId="1" fillId="0" borderId="62" xfId="13" applyNumberFormat="1" applyBorder="1" applyAlignment="1">
      <alignment vertical="center" wrapText="1"/>
    </xf>
    <xf numFmtId="0" fontId="1" fillId="0" borderId="0" xfId="13" applyBorder="1"/>
    <xf numFmtId="0" fontId="1" fillId="0" borderId="65" xfId="13" applyBorder="1" applyAlignment="1">
      <alignment vertical="center" wrapText="1"/>
    </xf>
    <xf numFmtId="0" fontId="1" fillId="0" borderId="46" xfId="13" applyBorder="1" applyAlignment="1">
      <alignment vertical="center" wrapText="1"/>
    </xf>
    <xf numFmtId="196" fontId="1" fillId="0" borderId="46" xfId="13" applyNumberFormat="1" applyBorder="1" applyAlignment="1">
      <alignment vertical="center" wrapText="1"/>
    </xf>
    <xf numFmtId="0" fontId="51" fillId="0" borderId="46" xfId="13" applyFont="1" applyBorder="1" applyAlignment="1">
      <alignment vertical="center" wrapText="1"/>
    </xf>
    <xf numFmtId="0" fontId="1" fillId="0" borderId="2" xfId="13" applyBorder="1" applyAlignment="1">
      <alignment vertical="center" wrapText="1"/>
    </xf>
    <xf numFmtId="0" fontId="1" fillId="0" borderId="0" xfId="13" applyAlignment="1">
      <alignment vertical="center"/>
    </xf>
    <xf numFmtId="0" fontId="1" fillId="0" borderId="9" xfId="13" applyBorder="1" applyAlignment="1">
      <alignment horizontal="center" vertical="center" wrapText="1"/>
    </xf>
    <xf numFmtId="40" fontId="3" fillId="0" borderId="9" xfId="0" applyNumberFormat="1" applyFont="1" applyBorder="1"/>
    <xf numFmtId="40" fontId="52" fillId="0" borderId="9" xfId="13" applyNumberFormat="1" applyFont="1" applyBorder="1"/>
    <xf numFmtId="4" fontId="1" fillId="0" borderId="0" xfId="13" applyNumberFormat="1"/>
    <xf numFmtId="4" fontId="46" fillId="0" borderId="67" xfId="13" applyNumberFormat="1" applyFont="1" applyFill="1" applyBorder="1" applyAlignment="1" applyProtection="1"/>
    <xf numFmtId="166" fontId="1" fillId="0" borderId="0" xfId="3" applyNumberFormat="1" applyFont="1" applyBorder="1"/>
    <xf numFmtId="0" fontId="1" fillId="9" borderId="0" xfId="13" applyFill="1"/>
    <xf numFmtId="166" fontId="1" fillId="0" borderId="4" xfId="3" applyNumberFormat="1" applyFont="1" applyBorder="1"/>
    <xf numFmtId="4" fontId="46" fillId="0" borderId="24" xfId="13" applyNumberFormat="1" applyFont="1" applyFill="1" applyBorder="1" applyAlignment="1" applyProtection="1"/>
    <xf numFmtId="4" fontId="46" fillId="8" borderId="56" xfId="13" applyNumberFormat="1" applyFont="1" applyFill="1" applyBorder="1" applyAlignment="1" applyProtection="1"/>
    <xf numFmtId="9" fontId="46" fillId="0" borderId="56" xfId="14" applyFont="1" applyFill="1" applyBorder="1" applyAlignment="1" applyProtection="1"/>
    <xf numFmtId="0" fontId="1" fillId="8" borderId="4" xfId="13" applyFill="1" applyBorder="1"/>
    <xf numFmtId="10" fontId="46" fillId="0" borderId="4" xfId="14" applyNumberFormat="1" applyFont="1" applyFill="1" applyBorder="1" applyAlignment="1" applyProtection="1"/>
    <xf numFmtId="196" fontId="46" fillId="0" borderId="4" xfId="14" applyNumberFormat="1" applyFont="1" applyFill="1" applyBorder="1" applyAlignment="1" applyProtection="1"/>
    <xf numFmtId="4" fontId="46" fillId="8" borderId="4" xfId="13" applyNumberFormat="1" applyFont="1" applyFill="1" applyBorder="1" applyAlignment="1" applyProtection="1"/>
    <xf numFmtId="4" fontId="46" fillId="8" borderId="54" xfId="13" applyNumberFormat="1" applyFont="1" applyFill="1" applyBorder="1" applyAlignment="1" applyProtection="1"/>
    <xf numFmtId="38" fontId="0" fillId="8" borderId="56" xfId="0" applyFill="1" applyBorder="1" applyAlignment="1">
      <alignment horizontal="center"/>
    </xf>
    <xf numFmtId="4" fontId="46" fillId="8" borderId="14" xfId="13" applyNumberFormat="1" applyFont="1" applyFill="1" applyBorder="1" applyAlignment="1" applyProtection="1"/>
    <xf numFmtId="4" fontId="46" fillId="8" borderId="56" xfId="13" applyNumberFormat="1" applyFont="1" applyFill="1" applyBorder="1" applyAlignment="1" applyProtection="1">
      <alignment horizontal="center"/>
    </xf>
    <xf numFmtId="170" fontId="9" fillId="4" borderId="12" xfId="0" applyNumberFormat="1" applyFont="1" applyFill="1" applyBorder="1" applyAlignment="1" applyProtection="1">
      <alignment horizontal="center" vertical="center"/>
    </xf>
    <xf numFmtId="170" fontId="9" fillId="4" borderId="29" xfId="0" applyNumberFormat="1" applyFont="1" applyFill="1" applyBorder="1" applyAlignment="1" applyProtection="1">
      <alignment horizontal="center" vertical="center"/>
    </xf>
    <xf numFmtId="170" fontId="9" fillId="4" borderId="28" xfId="0" applyNumberFormat="1" applyFont="1" applyFill="1" applyBorder="1" applyAlignment="1" applyProtection="1">
      <alignment horizontal="center" vertical="center"/>
    </xf>
    <xf numFmtId="190" fontId="3" fillId="0" borderId="9" xfId="3" applyNumberFormat="1" applyFont="1" applyFill="1" applyBorder="1" applyAlignment="1">
      <alignment horizontal="center" vertical="center"/>
    </xf>
    <xf numFmtId="190" fontId="0" fillId="0" borderId="9" xfId="3" applyNumberFormat="1" applyFont="1" applyBorder="1" applyAlignment="1">
      <alignment horizontal="center" vertical="center"/>
    </xf>
    <xf numFmtId="190" fontId="3" fillId="0" borderId="9" xfId="3" applyNumberFormat="1" applyFont="1" applyBorder="1" applyAlignment="1">
      <alignment horizontal="center" vertical="center"/>
    </xf>
    <xf numFmtId="38" fontId="18" fillId="4" borderId="0" xfId="0" applyFont="1" applyFill="1" applyBorder="1" applyAlignment="1" applyProtection="1">
      <alignment horizontal="center" vertical="center"/>
      <protection hidden="1"/>
    </xf>
    <xf numFmtId="38" fontId="5" fillId="0" borderId="39" xfId="0" applyFont="1" applyFill="1" applyBorder="1" applyProtection="1">
      <protection hidden="1"/>
    </xf>
    <xf numFmtId="38" fontId="5" fillId="0" borderId="10" xfId="0" applyFont="1" applyFill="1" applyBorder="1" applyProtection="1">
      <protection hidden="1"/>
    </xf>
    <xf numFmtId="38" fontId="5" fillId="0" borderId="42" xfId="0" applyFont="1" applyFill="1" applyBorder="1" applyProtection="1">
      <protection hidden="1"/>
    </xf>
    <xf numFmtId="171" fontId="5" fillId="4" borderId="39" xfId="0" applyNumberFormat="1" applyFont="1" applyFill="1" applyBorder="1" applyProtection="1">
      <protection hidden="1"/>
    </xf>
    <xf numFmtId="171" fontId="5" fillId="4" borderId="10" xfId="0" applyNumberFormat="1" applyFont="1" applyFill="1" applyBorder="1" applyProtection="1">
      <protection hidden="1"/>
    </xf>
    <xf numFmtId="38" fontId="4" fillId="4" borderId="42" xfId="0" applyFont="1" applyFill="1" applyBorder="1" applyProtection="1">
      <protection hidden="1"/>
    </xf>
    <xf numFmtId="38" fontId="3" fillId="4" borderId="10" xfId="2" applyNumberFormat="1" applyFill="1" applyBorder="1"/>
    <xf numFmtId="0" fontId="3" fillId="0" borderId="4" xfId="2" applyFill="1" applyBorder="1" applyAlignment="1">
      <alignment horizontal="center"/>
    </xf>
    <xf numFmtId="38" fontId="13" fillId="4" borderId="9" xfId="0" applyFont="1" applyFill="1" applyBorder="1" applyAlignment="1" applyProtection="1">
      <alignment horizontal="center"/>
      <protection hidden="1"/>
    </xf>
    <xf numFmtId="170" fontId="9" fillId="4" borderId="21" xfId="0" applyNumberFormat="1" applyFont="1" applyFill="1" applyBorder="1" applyAlignment="1">
      <alignment horizontal="center" vertical="center"/>
    </xf>
    <xf numFmtId="170" fontId="9" fillId="4" borderId="36" xfId="0" applyNumberFormat="1" applyFont="1" applyFill="1" applyBorder="1" applyAlignment="1">
      <alignment horizontal="center" vertical="center"/>
    </xf>
    <xf numFmtId="170" fontId="9" fillId="4" borderId="23" xfId="0" applyNumberFormat="1" applyFont="1" applyFill="1" applyBorder="1" applyAlignment="1">
      <alignment horizontal="center" vertical="center"/>
    </xf>
    <xf numFmtId="170" fontId="9" fillId="4" borderId="32" xfId="0" applyNumberFormat="1" applyFont="1" applyFill="1" applyBorder="1" applyAlignment="1">
      <alignment horizontal="center" vertical="center"/>
    </xf>
    <xf numFmtId="172" fontId="5" fillId="4" borderId="12" xfId="0" applyNumberFormat="1" applyFont="1" applyFill="1" applyBorder="1"/>
    <xf numFmtId="172" fontId="5" fillId="4" borderId="3" xfId="0" applyNumberFormat="1" applyFont="1" applyFill="1" applyBorder="1"/>
    <xf numFmtId="172" fontId="5" fillId="4" borderId="8" xfId="0" applyNumberFormat="1" applyFont="1" applyFill="1" applyBorder="1"/>
    <xf numFmtId="38" fontId="13" fillId="4" borderId="9" xfId="0" applyFont="1" applyFill="1" applyBorder="1" applyAlignment="1">
      <alignment horizontal="center"/>
    </xf>
    <xf numFmtId="177" fontId="5" fillId="0" borderId="9" xfId="1" applyNumberFormat="1" applyFont="1" applyFill="1" applyBorder="1" applyAlignment="1">
      <alignment horizontal="center"/>
    </xf>
    <xf numFmtId="183" fontId="23" fillId="4" borderId="30" xfId="1" applyNumberFormat="1" applyFont="1" applyFill="1" applyBorder="1" applyAlignment="1" applyProtection="1">
      <alignment horizontal="right"/>
      <protection locked="0"/>
    </xf>
    <xf numFmtId="183" fontId="5" fillId="0" borderId="9" xfId="1" applyNumberFormat="1" applyFont="1" applyFill="1" applyBorder="1" applyAlignment="1"/>
    <xf numFmtId="173" fontId="5" fillId="0" borderId="12" xfId="0" applyNumberFormat="1" applyFont="1" applyFill="1" applyBorder="1" applyProtection="1">
      <protection locked="0"/>
    </xf>
    <xf numFmtId="173" fontId="5" fillId="0" borderId="3" xfId="0" applyNumberFormat="1" applyFont="1" applyFill="1" applyBorder="1"/>
    <xf numFmtId="183" fontId="5" fillId="0" borderId="3" xfId="1" applyNumberFormat="1" applyFont="1" applyFill="1" applyBorder="1" applyAlignment="1"/>
    <xf numFmtId="173" fontId="5" fillId="0" borderId="8" xfId="0" applyNumberFormat="1" applyFont="1" applyFill="1" applyBorder="1"/>
    <xf numFmtId="183" fontId="5" fillId="4" borderId="9" xfId="1" applyNumberFormat="1" applyFont="1" applyFill="1" applyBorder="1" applyAlignment="1"/>
    <xf numFmtId="173" fontId="5" fillId="4" borderId="40" xfId="0" applyNumberFormat="1" applyFont="1" applyFill="1" applyBorder="1" applyProtection="1">
      <protection locked="0"/>
    </xf>
    <xf numFmtId="183" fontId="5" fillId="4" borderId="4" xfId="1" applyNumberFormat="1" applyFont="1" applyFill="1" applyBorder="1" applyAlignment="1"/>
    <xf numFmtId="173" fontId="5" fillId="4" borderId="31" xfId="0" applyNumberFormat="1" applyFont="1" applyFill="1" applyBorder="1"/>
    <xf numFmtId="174" fontId="5" fillId="0" borderId="13" xfId="0" applyNumberFormat="1" applyFont="1" applyFill="1" applyBorder="1"/>
    <xf numFmtId="38" fontId="5" fillId="4" borderId="27" xfId="0" applyFont="1" applyFill="1" applyBorder="1"/>
    <xf numFmtId="174" fontId="4" fillId="4" borderId="32" xfId="0" applyNumberFormat="1" applyFont="1" applyFill="1" applyBorder="1" applyProtection="1">
      <protection locked="0"/>
    </xf>
    <xf numFmtId="166" fontId="5" fillId="0" borderId="9" xfId="3" applyNumberFormat="1" applyFont="1" applyFill="1" applyBorder="1"/>
    <xf numFmtId="166" fontId="5" fillId="4" borderId="11" xfId="3" applyNumberFormat="1" applyFont="1" applyFill="1" applyBorder="1"/>
    <xf numFmtId="174" fontId="4" fillId="4" borderId="27" xfId="0" applyNumberFormat="1" applyFont="1" applyFill="1" applyBorder="1" applyAlignment="1" applyProtection="1">
      <alignment vertical="center"/>
      <protection locked="0"/>
    </xf>
    <xf numFmtId="183" fontId="5" fillId="0" borderId="3" xfId="1" applyNumberFormat="1" applyFont="1" applyFill="1" applyBorder="1" applyAlignment="1">
      <alignment horizontal="right" vertical="center"/>
    </xf>
    <xf numFmtId="183" fontId="5" fillId="0" borderId="9" xfId="1" applyNumberFormat="1" applyFont="1" applyFill="1" applyBorder="1" applyAlignment="1">
      <alignment horizontal="right" vertical="center"/>
    </xf>
    <xf numFmtId="38" fontId="23" fillId="4" borderId="12" xfId="0" applyFont="1" applyFill="1" applyBorder="1" applyAlignment="1">
      <alignment vertical="center"/>
    </xf>
    <xf numFmtId="38" fontId="5" fillId="0" borderId="29" xfId="0" applyNumberFormat="1" applyFont="1" applyFill="1" applyBorder="1"/>
    <xf numFmtId="38" fontId="5" fillId="4" borderId="29" xfId="0" applyFont="1" applyFill="1" applyBorder="1"/>
    <xf numFmtId="38" fontId="5" fillId="4" borderId="28" xfId="0" applyFont="1" applyFill="1" applyBorder="1"/>
    <xf numFmtId="38" fontId="23" fillId="4" borderId="3" xfId="0" applyFont="1" applyFill="1" applyBorder="1" applyAlignment="1">
      <alignment vertical="center"/>
    </xf>
    <xf numFmtId="38" fontId="23" fillId="4" borderId="8" xfId="0" applyFont="1" applyFill="1" applyBorder="1" applyAlignment="1">
      <alignment vertical="center"/>
    </xf>
    <xf numFmtId="38" fontId="5" fillId="4" borderId="13" xfId="0" applyFont="1" applyFill="1" applyBorder="1"/>
    <xf numFmtId="174" fontId="5" fillId="4" borderId="9" xfId="0" applyNumberFormat="1" applyFont="1" applyFill="1" applyBorder="1" applyAlignment="1">
      <alignment vertical="center"/>
    </xf>
    <xf numFmtId="173" fontId="9" fillId="4" borderId="66" xfId="0" applyNumberFormat="1" applyFont="1" applyFill="1" applyBorder="1" applyAlignment="1" applyProtection="1">
      <alignment horizontal="center"/>
    </xf>
    <xf numFmtId="173" fontId="9" fillId="4" borderId="56" xfId="0" applyNumberFormat="1" applyFont="1" applyFill="1" applyBorder="1" applyAlignment="1" applyProtection="1">
      <alignment horizontal="center"/>
    </xf>
    <xf numFmtId="183" fontId="5" fillId="0" borderId="12" xfId="0" applyNumberFormat="1" applyFont="1" applyFill="1" applyBorder="1" applyAlignment="1">
      <alignment horizontal="right" vertical="center"/>
    </xf>
    <xf numFmtId="183" fontId="5" fillId="0" borderId="29" xfId="0" applyNumberFormat="1" applyFont="1" applyFill="1" applyBorder="1" applyAlignment="1">
      <alignment horizontal="right" vertical="center"/>
    </xf>
    <xf numFmtId="183" fontId="4" fillId="4" borderId="72" xfId="0" applyNumberFormat="1" applyFont="1" applyFill="1" applyBorder="1" applyAlignment="1" applyProtection="1">
      <alignment horizontal="right" vertical="center"/>
      <protection locked="0"/>
    </xf>
    <xf numFmtId="183" fontId="5" fillId="0" borderId="3" xfId="0" applyNumberFormat="1" applyFont="1" applyFill="1" applyBorder="1" applyAlignment="1" applyProtection="1">
      <alignment horizontal="right" vertical="center"/>
      <protection locked="0"/>
    </xf>
    <xf numFmtId="183" fontId="5" fillId="0" borderId="9" xfId="0" applyNumberFormat="1" applyFont="1" applyFill="1" applyBorder="1" applyAlignment="1" applyProtection="1">
      <alignment horizontal="right" vertical="center"/>
      <protection locked="0"/>
    </xf>
    <xf numFmtId="183" fontId="4" fillId="4" borderId="30" xfId="0" applyNumberFormat="1" applyFont="1" applyFill="1" applyBorder="1" applyAlignment="1" applyProtection="1">
      <alignment horizontal="right" vertical="center"/>
      <protection locked="0"/>
    </xf>
    <xf numFmtId="183" fontId="5" fillId="0" borderId="3" xfId="0" applyNumberFormat="1" applyFont="1" applyFill="1" applyBorder="1" applyAlignment="1">
      <alignment horizontal="right" vertical="center"/>
    </xf>
    <xf numFmtId="183" fontId="5" fillId="0" borderId="9" xfId="0" applyNumberFormat="1" applyFont="1" applyFill="1" applyBorder="1" applyAlignment="1">
      <alignment horizontal="right" vertical="center"/>
    </xf>
    <xf numFmtId="183" fontId="4" fillId="4" borderId="30" xfId="0" applyNumberFormat="1" applyFont="1" applyFill="1" applyBorder="1" applyAlignment="1" applyProtection="1">
      <alignment horizontal="right" vertical="center"/>
    </xf>
    <xf numFmtId="183" fontId="5" fillId="0" borderId="8" xfId="0" applyNumberFormat="1" applyFont="1" applyFill="1" applyBorder="1" applyAlignment="1">
      <alignment horizontal="right" vertical="center"/>
    </xf>
    <xf numFmtId="183" fontId="5" fillId="0" borderId="13" xfId="0" applyNumberFormat="1" applyFont="1" applyFill="1" applyBorder="1" applyAlignment="1">
      <alignment horizontal="right" vertical="center"/>
    </xf>
    <xf numFmtId="183" fontId="4" fillId="4" borderId="45" xfId="0" applyNumberFormat="1" applyFont="1" applyFill="1" applyBorder="1" applyAlignment="1" applyProtection="1">
      <alignment horizontal="right" vertical="center"/>
      <protection locked="0"/>
    </xf>
    <xf numFmtId="183" fontId="0" fillId="0" borderId="12" xfId="1" applyNumberFormat="1" applyFont="1" applyFill="1" applyBorder="1" applyAlignment="1">
      <alignment horizontal="left" vertical="center"/>
    </xf>
    <xf numFmtId="183" fontId="0" fillId="0" borderId="29" xfId="1" applyNumberFormat="1" applyFont="1" applyFill="1" applyBorder="1" applyAlignment="1">
      <alignment horizontal="right" vertical="center"/>
    </xf>
    <xf numFmtId="183" fontId="5" fillId="0" borderId="29" xfId="1" applyNumberFormat="1" applyFont="1" applyFill="1" applyBorder="1" applyAlignment="1" applyProtection="1">
      <alignment horizontal="right" vertical="center"/>
      <protection locked="0"/>
    </xf>
    <xf numFmtId="183" fontId="5" fillId="4" borderId="28" xfId="1" applyNumberFormat="1" applyFont="1" applyFill="1" applyBorder="1" applyAlignment="1" applyProtection="1">
      <alignment horizontal="right" vertical="center"/>
      <protection locked="0"/>
    </xf>
    <xf numFmtId="183" fontId="4" fillId="4" borderId="28" xfId="1" applyNumberFormat="1" applyFont="1" applyFill="1" applyBorder="1" applyAlignment="1" applyProtection="1">
      <alignment vertical="center"/>
    </xf>
    <xf numFmtId="183" fontId="5" fillId="0" borderId="3" xfId="1" applyNumberFormat="1" applyFont="1" applyFill="1" applyBorder="1" applyAlignment="1" applyProtection="1">
      <alignment horizontal="left" vertical="center"/>
      <protection locked="0"/>
    </xf>
    <xf numFmtId="183" fontId="5" fillId="0" borderId="9" xfId="1" applyNumberFormat="1" applyFont="1" applyFill="1" applyBorder="1" applyAlignment="1" applyProtection="1">
      <alignment horizontal="right" vertical="center"/>
      <protection locked="0"/>
    </xf>
    <xf numFmtId="183" fontId="5" fillId="4" borderId="11" xfId="1" applyNumberFormat="1" applyFont="1" applyFill="1" applyBorder="1" applyAlignment="1" applyProtection="1">
      <alignment horizontal="right" vertical="center"/>
      <protection locked="0"/>
    </xf>
    <xf numFmtId="183" fontId="4" fillId="4" borderId="11" xfId="1" applyNumberFormat="1" applyFont="1" applyFill="1" applyBorder="1" applyAlignment="1" applyProtection="1">
      <alignment vertical="center"/>
    </xf>
    <xf numFmtId="183" fontId="0" fillId="0" borderId="3" xfId="1" applyNumberFormat="1" applyFont="1" applyFill="1" applyBorder="1" applyAlignment="1">
      <alignment horizontal="left" vertical="center"/>
    </xf>
    <xf numFmtId="183" fontId="0" fillId="0" borderId="9" xfId="1" applyNumberFormat="1" applyFont="1" applyFill="1" applyBorder="1" applyAlignment="1">
      <alignment horizontal="right" vertical="center"/>
    </xf>
    <xf numFmtId="183" fontId="0" fillId="0" borderId="8" xfId="1" applyNumberFormat="1" applyFont="1" applyFill="1" applyBorder="1" applyAlignment="1">
      <alignment vertical="center"/>
    </xf>
    <xf numFmtId="183" fontId="0" fillId="0" borderId="13" xfId="1" applyNumberFormat="1" applyFont="1" applyFill="1" applyBorder="1" applyAlignment="1">
      <alignment vertical="center"/>
    </xf>
    <xf numFmtId="183" fontId="5" fillId="0" borderId="13" xfId="1" applyNumberFormat="1" applyFont="1" applyFill="1" applyBorder="1" applyAlignment="1" applyProtection="1">
      <alignment horizontal="right" vertical="center"/>
      <protection locked="0"/>
    </xf>
    <xf numFmtId="183" fontId="5" fillId="4" borderId="27" xfId="1" applyNumberFormat="1" applyFont="1" applyFill="1" applyBorder="1" applyAlignment="1" applyProtection="1">
      <alignment horizontal="right" vertical="center"/>
      <protection locked="0"/>
    </xf>
    <xf numFmtId="183" fontId="4" fillId="4" borderId="27" xfId="1" applyNumberFormat="1" applyFont="1" applyFill="1" applyBorder="1" applyAlignment="1" applyProtection="1">
      <alignment vertical="center"/>
    </xf>
    <xf numFmtId="183" fontId="5" fillId="4" borderId="12" xfId="0" applyNumberFormat="1" applyFont="1" applyFill="1" applyBorder="1" applyAlignment="1">
      <alignment horizontal="right" vertical="center"/>
    </xf>
    <xf numFmtId="183" fontId="5" fillId="4" borderId="29" xfId="0" applyNumberFormat="1" applyFont="1" applyFill="1" applyBorder="1" applyAlignment="1">
      <alignment horizontal="right" vertical="center"/>
    </xf>
    <xf numFmtId="183" fontId="4" fillId="4" borderId="28" xfId="0" applyNumberFormat="1" applyFont="1" applyFill="1" applyBorder="1" applyAlignment="1">
      <alignment horizontal="right" vertical="center"/>
    </xf>
    <xf numFmtId="174" fontId="5" fillId="4" borderId="40" xfId="0" applyNumberFormat="1" applyFont="1" applyFill="1" applyBorder="1" applyAlignment="1">
      <alignment vertical="center"/>
    </xf>
    <xf numFmtId="174" fontId="5" fillId="4" borderId="29" xfId="0" applyNumberFormat="1" applyFont="1" applyFill="1" applyBorder="1" applyAlignment="1">
      <alignment vertical="center"/>
    </xf>
    <xf numFmtId="174" fontId="5" fillId="4" borderId="28" xfId="0" applyNumberFormat="1" applyFont="1" applyFill="1" applyBorder="1" applyAlignment="1">
      <alignment vertical="center"/>
    </xf>
    <xf numFmtId="183" fontId="5" fillId="4" borderId="3" xfId="0" applyNumberFormat="1" applyFont="1" applyFill="1" applyBorder="1" applyAlignment="1" applyProtection="1">
      <alignment horizontal="right" vertical="center"/>
      <protection locked="0"/>
    </xf>
    <xf numFmtId="183" fontId="5" fillId="4" borderId="9" xfId="0" applyNumberFormat="1" applyFont="1" applyFill="1" applyBorder="1" applyAlignment="1" applyProtection="1">
      <alignment horizontal="right" vertical="center"/>
      <protection locked="0"/>
    </xf>
    <xf numFmtId="183" fontId="4" fillId="4" borderId="11" xfId="0" applyNumberFormat="1" applyFont="1" applyFill="1" applyBorder="1" applyAlignment="1">
      <alignment horizontal="right" vertical="center"/>
    </xf>
    <xf numFmtId="174" fontId="5" fillId="4" borderId="4" xfId="0" applyNumberFormat="1" applyFont="1" applyFill="1" applyBorder="1" applyAlignment="1">
      <alignment vertical="center"/>
    </xf>
    <xf numFmtId="174" fontId="5" fillId="4" borderId="11" xfId="0" applyNumberFormat="1" applyFont="1" applyFill="1" applyBorder="1" applyAlignment="1">
      <alignment vertical="center"/>
    </xf>
    <xf numFmtId="183" fontId="5" fillId="4" borderId="3" xfId="0" applyNumberFormat="1" applyFont="1" applyFill="1" applyBorder="1" applyAlignment="1">
      <alignment horizontal="right" vertical="center"/>
    </xf>
    <xf numFmtId="183" fontId="5" fillId="4" borderId="9" xfId="0" applyNumberFormat="1" applyFont="1" applyFill="1" applyBorder="1" applyAlignment="1">
      <alignment horizontal="right" vertical="center"/>
    </xf>
    <xf numFmtId="183" fontId="5" fillId="4" borderId="3" xfId="1" applyNumberFormat="1" applyFont="1" applyFill="1" applyBorder="1" applyAlignment="1">
      <alignment horizontal="right" vertical="center"/>
    </xf>
    <xf numFmtId="183" fontId="0" fillId="4" borderId="9" xfId="0" applyNumberFormat="1" applyFill="1" applyBorder="1" applyAlignment="1">
      <alignment horizontal="right" vertical="center"/>
    </xf>
    <xf numFmtId="183" fontId="5" fillId="4" borderId="8" xfId="0" applyNumberFormat="1" applyFont="1" applyFill="1" applyBorder="1" applyAlignment="1">
      <alignment horizontal="right" vertical="center"/>
    </xf>
    <xf numFmtId="183" fontId="5" fillId="4" borderId="13" xfId="0" applyNumberFormat="1" applyFont="1" applyFill="1" applyBorder="1" applyAlignment="1">
      <alignment horizontal="right" vertical="center"/>
    </xf>
    <xf numFmtId="183" fontId="4" fillId="4" borderId="27" xfId="0" applyNumberFormat="1" applyFont="1" applyFill="1" applyBorder="1" applyAlignment="1">
      <alignment horizontal="right" vertical="center"/>
    </xf>
    <xf numFmtId="174" fontId="4" fillId="4" borderId="57" xfId="0" applyNumberFormat="1" applyFont="1" applyFill="1" applyBorder="1" applyAlignment="1" applyProtection="1">
      <alignment vertical="center"/>
      <protection locked="0"/>
    </xf>
    <xf numFmtId="174" fontId="4" fillId="4" borderId="22" xfId="0" applyNumberFormat="1" applyFont="1" applyFill="1" applyBorder="1" applyAlignment="1" applyProtection="1">
      <alignment vertical="center"/>
      <protection locked="0"/>
    </xf>
    <xf numFmtId="174" fontId="4" fillId="4" borderId="8" xfId="0" applyNumberFormat="1" applyFont="1" applyFill="1" applyBorder="1" applyAlignment="1" applyProtection="1">
      <alignment vertical="center"/>
      <protection locked="0"/>
    </xf>
    <xf numFmtId="174" fontId="4" fillId="4" borderId="13" xfId="0" applyNumberFormat="1" applyFont="1" applyFill="1" applyBorder="1" applyAlignment="1" applyProtection="1">
      <alignment vertical="center"/>
      <protection locked="0"/>
    </xf>
    <xf numFmtId="174" fontId="5" fillId="4" borderId="12" xfId="0" applyNumberFormat="1" applyFont="1" applyFill="1" applyBorder="1" applyAlignment="1">
      <alignment vertical="center"/>
    </xf>
    <xf numFmtId="174" fontId="5" fillId="4" borderId="1" xfId="0" applyNumberFormat="1" applyFont="1" applyFill="1" applyBorder="1" applyAlignment="1">
      <alignment vertical="center"/>
    </xf>
    <xf numFmtId="174" fontId="5" fillId="4" borderId="14" xfId="0" applyNumberFormat="1" applyFont="1" applyFill="1" applyBorder="1" applyAlignment="1">
      <alignment vertical="center"/>
    </xf>
    <xf numFmtId="174" fontId="5" fillId="4" borderId="15" xfId="0" applyNumberFormat="1" applyFont="1" applyFill="1" applyBorder="1" applyAlignment="1">
      <alignment vertical="center"/>
    </xf>
    <xf numFmtId="174" fontId="5" fillId="4" borderId="3" xfId="0" applyNumberFormat="1" applyFont="1" applyFill="1" applyBorder="1" applyAlignment="1">
      <alignment vertical="center"/>
    </xf>
    <xf numFmtId="174" fontId="4" fillId="4" borderId="8" xfId="0" applyNumberFormat="1" applyFont="1" applyFill="1" applyBorder="1" applyAlignment="1">
      <alignment vertical="center"/>
    </xf>
    <xf numFmtId="174" fontId="4" fillId="4" borderId="13" xfId="0" applyNumberFormat="1" applyFont="1" applyFill="1" applyBorder="1" applyAlignment="1">
      <alignment vertical="center"/>
    </xf>
    <xf numFmtId="174" fontId="4" fillId="4" borderId="27" xfId="0" applyNumberFormat="1" applyFont="1" applyFill="1" applyBorder="1" applyAlignment="1">
      <alignment vertical="center"/>
    </xf>
    <xf numFmtId="174" fontId="5" fillId="4" borderId="19" xfId="0" applyNumberFormat="1" applyFont="1" applyFill="1" applyBorder="1" applyAlignment="1">
      <alignment vertical="center"/>
    </xf>
    <xf numFmtId="174" fontId="5" fillId="4" borderId="0" xfId="0" applyNumberFormat="1" applyFont="1" applyFill="1" applyBorder="1" applyAlignment="1">
      <alignment vertical="center"/>
    </xf>
    <xf numFmtId="174" fontId="5" fillId="4" borderId="20" xfId="0" applyNumberFormat="1" applyFont="1" applyFill="1" applyBorder="1" applyAlignment="1">
      <alignment vertical="center"/>
    </xf>
    <xf numFmtId="183" fontId="5" fillId="4" borderId="29" xfId="1" applyNumberFormat="1" applyFont="1" applyFill="1" applyBorder="1" applyAlignment="1" applyProtection="1">
      <alignment vertical="center"/>
      <protection locked="0"/>
    </xf>
    <xf numFmtId="183" fontId="5" fillId="4" borderId="40" xfId="1" applyNumberFormat="1" applyFont="1" applyFill="1" applyBorder="1" applyAlignment="1">
      <alignment vertical="center"/>
    </xf>
    <xf numFmtId="183" fontId="5" fillId="4" borderId="29" xfId="1" applyNumberFormat="1" applyFont="1" applyFill="1" applyBorder="1" applyAlignment="1">
      <alignment vertical="center"/>
    </xf>
    <xf numFmtId="183" fontId="5" fillId="4" borderId="29" xfId="1" applyNumberFormat="1" applyFont="1" applyFill="1" applyBorder="1" applyAlignment="1">
      <alignment horizontal="right" vertical="center"/>
    </xf>
    <xf numFmtId="183" fontId="5" fillId="4" borderId="28" xfId="1" applyNumberFormat="1" applyFont="1" applyFill="1" applyBorder="1" applyAlignment="1">
      <alignment horizontal="right" vertical="center"/>
    </xf>
    <xf numFmtId="183" fontId="5" fillId="4" borderId="9" xfId="1" applyNumberFormat="1" applyFont="1" applyFill="1" applyBorder="1" applyAlignment="1" applyProtection="1">
      <alignment vertical="center"/>
      <protection locked="0"/>
    </xf>
    <xf numFmtId="183" fontId="5" fillId="4" borderId="4" xfId="1" applyNumberFormat="1" applyFont="1" applyFill="1" applyBorder="1" applyAlignment="1">
      <alignment vertical="center"/>
    </xf>
    <xf numFmtId="183" fontId="5" fillId="4" borderId="9" xfId="1" applyNumberFormat="1" applyFont="1" applyFill="1" applyBorder="1" applyAlignment="1">
      <alignment vertical="center"/>
    </xf>
    <xf numFmtId="183" fontId="5" fillId="4" borderId="11" xfId="1" applyNumberFormat="1" applyFont="1" applyFill="1" applyBorder="1" applyAlignment="1">
      <alignment horizontal="right" vertical="center"/>
    </xf>
    <xf numFmtId="183" fontId="5" fillId="4" borderId="13" xfId="1" applyNumberFormat="1" applyFont="1" applyFill="1" applyBorder="1" applyAlignment="1" applyProtection="1">
      <alignment vertical="center"/>
      <protection locked="0"/>
    </xf>
    <xf numFmtId="183" fontId="5" fillId="4" borderId="31" xfId="1" applyNumberFormat="1" applyFont="1" applyFill="1" applyBorder="1" applyAlignment="1">
      <alignment vertical="center"/>
    </xf>
    <xf numFmtId="183" fontId="5" fillId="4" borderId="13" xfId="1" applyNumberFormat="1" applyFont="1" applyFill="1" applyBorder="1" applyAlignment="1">
      <alignment vertical="center"/>
    </xf>
    <xf numFmtId="183" fontId="5" fillId="4" borderId="13" xfId="1" applyNumberFormat="1" applyFont="1" applyFill="1" applyBorder="1" applyAlignment="1">
      <alignment horizontal="right" vertical="center"/>
    </xf>
    <xf numFmtId="183" fontId="5" fillId="4" borderId="27" xfId="1" applyNumberFormat="1" applyFont="1" applyFill="1" applyBorder="1" applyAlignment="1">
      <alignment horizontal="right" vertical="center"/>
    </xf>
    <xf numFmtId="183" fontId="5" fillId="4" borderId="1" xfId="1" applyNumberFormat="1" applyFont="1" applyFill="1" applyBorder="1" applyAlignment="1">
      <alignment vertical="center"/>
    </xf>
    <xf numFmtId="183" fontId="5" fillId="4" borderId="14" xfId="1" applyNumberFormat="1" applyFont="1" applyFill="1" applyBorder="1" applyAlignment="1">
      <alignment vertical="center"/>
    </xf>
    <xf numFmtId="183" fontId="5" fillId="4" borderId="15" xfId="1" applyNumberFormat="1" applyFont="1" applyFill="1" applyBorder="1" applyAlignment="1">
      <alignment vertical="center"/>
    </xf>
    <xf numFmtId="183" fontId="5" fillId="4" borderId="3" xfId="1" applyNumberFormat="1" applyFont="1" applyFill="1" applyBorder="1" applyAlignment="1">
      <alignment vertical="center"/>
    </xf>
    <xf numFmtId="183" fontId="4" fillId="4" borderId="11" xfId="1" applyNumberFormat="1" applyFont="1" applyFill="1" applyBorder="1" applyAlignment="1">
      <alignment vertical="center"/>
    </xf>
    <xf numFmtId="183" fontId="5" fillId="4" borderId="11" xfId="1" applyNumberFormat="1" applyFont="1" applyFill="1" applyBorder="1" applyAlignment="1">
      <alignment vertical="center"/>
    </xf>
    <xf numFmtId="183" fontId="4" fillId="4" borderId="8" xfId="1" applyNumberFormat="1" applyFont="1" applyFill="1" applyBorder="1" applyAlignment="1">
      <alignment vertical="center"/>
    </xf>
    <xf numFmtId="183" fontId="4" fillId="4" borderId="13" xfId="1" applyNumberFormat="1" applyFont="1" applyFill="1" applyBorder="1" applyAlignment="1">
      <alignment vertical="center"/>
    </xf>
    <xf numFmtId="183" fontId="4" fillId="4" borderId="27" xfId="1" applyNumberFormat="1" applyFont="1" applyFill="1" applyBorder="1" applyAlignment="1">
      <alignment vertical="center"/>
    </xf>
    <xf numFmtId="183" fontId="5" fillId="4" borderId="19" xfId="1" applyNumberFormat="1" applyFont="1" applyFill="1" applyBorder="1" applyAlignment="1">
      <alignment vertical="center"/>
    </xf>
    <xf numFmtId="183" fontId="5" fillId="4" borderId="0" xfId="1" applyNumberFormat="1" applyFont="1" applyFill="1" applyBorder="1" applyAlignment="1">
      <alignment vertical="center"/>
    </xf>
    <xf numFmtId="183" fontId="5" fillId="4" borderId="20" xfId="1" applyNumberFormat="1" applyFont="1" applyFill="1" applyBorder="1" applyAlignment="1">
      <alignment vertical="center"/>
    </xf>
    <xf numFmtId="183" fontId="4" fillId="4" borderId="5" xfId="1" applyNumberFormat="1" applyFont="1" applyFill="1" applyBorder="1" applyAlignment="1">
      <alignment vertical="center"/>
    </xf>
    <xf numFmtId="183" fontId="4" fillId="4" borderId="6" xfId="1" applyNumberFormat="1" applyFont="1" applyFill="1" applyBorder="1" applyAlignment="1">
      <alignment vertical="center"/>
    </xf>
    <xf numFmtId="183" fontId="4" fillId="4" borderId="7" xfId="1" applyNumberFormat="1" applyFont="1" applyFill="1" applyBorder="1" applyAlignment="1">
      <alignment vertical="center"/>
    </xf>
    <xf numFmtId="174" fontId="3" fillId="0" borderId="31" xfId="0" applyNumberFormat="1" applyFont="1" applyFill="1" applyBorder="1" applyProtection="1">
      <protection locked="0"/>
    </xf>
    <xf numFmtId="38" fontId="3" fillId="4" borderId="66" xfId="0" applyFont="1" applyFill="1" applyBorder="1"/>
    <xf numFmtId="174" fontId="3" fillId="0" borderId="54" xfId="0" applyNumberFormat="1" applyFont="1" applyFill="1" applyBorder="1" applyProtection="1">
      <protection locked="0"/>
    </xf>
    <xf numFmtId="174" fontId="3" fillId="0" borderId="55" xfId="0" applyNumberFormat="1" applyFont="1" applyFill="1" applyBorder="1" applyProtection="1">
      <protection locked="0"/>
    </xf>
    <xf numFmtId="174" fontId="3" fillId="0" borderId="56" xfId="0" applyNumberFormat="1" applyFont="1" applyFill="1" applyBorder="1" applyProtection="1">
      <protection locked="0"/>
    </xf>
    <xf numFmtId="198" fontId="32" fillId="4" borderId="9" xfId="3" applyNumberFormat="1" applyFont="1" applyFill="1" applyBorder="1" applyAlignment="1">
      <alignment horizontal="center" vertical="center"/>
    </xf>
    <xf numFmtId="183" fontId="3" fillId="0" borderId="0" xfId="2" applyNumberFormat="1"/>
    <xf numFmtId="38" fontId="0" fillId="4" borderId="10" xfId="0" applyFill="1" applyBorder="1" applyAlignment="1">
      <alignment horizontal="left"/>
    </xf>
    <xf numFmtId="173" fontId="5" fillId="4" borderId="65" xfId="0" applyNumberFormat="1" applyFont="1" applyFill="1" applyBorder="1"/>
    <xf numFmtId="173" fontId="5" fillId="4" borderId="23" xfId="0" applyNumberFormat="1" applyFont="1" applyFill="1" applyBorder="1"/>
    <xf numFmtId="173" fontId="5" fillId="4" borderId="29" xfId="0" applyNumberFormat="1" applyFont="1" applyFill="1" applyBorder="1"/>
    <xf numFmtId="183" fontId="5" fillId="4" borderId="4" xfId="1" applyNumberFormat="1" applyFont="1" applyFill="1" applyBorder="1" applyAlignment="1">
      <alignment horizontal="center" vertical="center"/>
    </xf>
    <xf numFmtId="173" fontId="5" fillId="4" borderId="33" xfId="0" applyNumberFormat="1" applyFont="1" applyFill="1" applyBorder="1" applyAlignment="1">
      <alignment horizontal="left" vertical="center"/>
    </xf>
    <xf numFmtId="190" fontId="24" fillId="4" borderId="9" xfId="1" applyNumberFormat="1" applyFont="1" applyFill="1" applyBorder="1" applyAlignment="1">
      <alignment horizontal="center" vertical="center"/>
    </xf>
    <xf numFmtId="190" fontId="9" fillId="4" borderId="9" xfId="1" applyNumberFormat="1" applyFont="1" applyFill="1" applyBorder="1" applyAlignment="1">
      <alignment horizontal="center" vertical="center"/>
    </xf>
    <xf numFmtId="183" fontId="0" fillId="4" borderId="11" xfId="0" applyNumberFormat="1" applyFill="1" applyBorder="1" applyAlignment="1">
      <alignment horizontal="center"/>
    </xf>
    <xf numFmtId="183" fontId="0" fillId="4" borderId="4" xfId="1" applyNumberFormat="1" applyFont="1" applyFill="1" applyBorder="1" applyAlignment="1">
      <alignment horizontal="center"/>
    </xf>
    <xf numFmtId="183" fontId="0" fillId="4" borderId="9" xfId="1" applyNumberFormat="1" applyFont="1" applyFill="1" applyBorder="1" applyAlignment="1">
      <alignment horizontal="center"/>
    </xf>
    <xf numFmtId="183" fontId="0" fillId="4" borderId="11" xfId="1" applyNumberFormat="1" applyFont="1" applyFill="1" applyBorder="1" applyAlignment="1">
      <alignment horizontal="center"/>
    </xf>
    <xf numFmtId="183" fontId="0" fillId="4" borderId="4" xfId="0" applyNumberFormat="1" applyFill="1" applyBorder="1" applyAlignment="1">
      <alignment horizontal="center"/>
    </xf>
    <xf numFmtId="183" fontId="0" fillId="4" borderId="9" xfId="0" applyNumberFormat="1" applyFill="1" applyBorder="1" applyAlignment="1">
      <alignment horizontal="center"/>
    </xf>
    <xf numFmtId="183" fontId="0" fillId="4" borderId="30" xfId="0" applyNumberFormat="1" applyFill="1" applyBorder="1" applyAlignment="1">
      <alignment horizontal="center"/>
    </xf>
    <xf numFmtId="183" fontId="0" fillId="4" borderId="3" xfId="0" applyNumberFormat="1" applyFill="1" applyBorder="1" applyAlignment="1">
      <alignment horizontal="center"/>
    </xf>
    <xf numFmtId="199" fontId="5" fillId="0" borderId="0" xfId="0" applyNumberFormat="1" applyFont="1" applyFill="1"/>
    <xf numFmtId="183" fontId="5" fillId="4" borderId="12" xfId="1" applyNumberFormat="1" applyFont="1" applyFill="1" applyBorder="1" applyAlignment="1" applyProtection="1">
      <alignment vertical="center"/>
      <protection locked="0"/>
    </xf>
    <xf numFmtId="183" fontId="5" fillId="4" borderId="3" xfId="1" applyNumberFormat="1" applyFont="1" applyFill="1" applyBorder="1" applyAlignment="1" applyProtection="1">
      <alignment vertical="center"/>
      <protection locked="0"/>
    </xf>
    <xf numFmtId="183" fontId="5" fillId="4" borderId="8" xfId="1" applyNumberFormat="1" applyFont="1" applyFill="1" applyBorder="1" applyAlignment="1" applyProtection="1">
      <alignment vertical="center"/>
      <protection locked="0"/>
    </xf>
    <xf numFmtId="183" fontId="0" fillId="4" borderId="8" xfId="0" applyNumberFormat="1" applyFill="1" applyBorder="1" applyAlignment="1">
      <alignment horizontal="center"/>
    </xf>
    <xf numFmtId="183" fontId="0" fillId="4" borderId="13" xfId="0" applyNumberFormat="1" applyFill="1" applyBorder="1" applyAlignment="1">
      <alignment horizontal="center"/>
    </xf>
    <xf numFmtId="183" fontId="0" fillId="4" borderId="45" xfId="0" applyNumberFormat="1" applyFill="1" applyBorder="1" applyAlignment="1">
      <alignment horizontal="center"/>
    </xf>
    <xf numFmtId="183" fontId="0" fillId="4" borderId="27" xfId="0" applyNumberFormat="1" applyFill="1" applyBorder="1" applyAlignment="1">
      <alignment horizontal="center"/>
    </xf>
    <xf numFmtId="183" fontId="0" fillId="4" borderId="31" xfId="0" applyNumberFormat="1" applyFill="1" applyBorder="1" applyAlignment="1">
      <alignment horizontal="center"/>
    </xf>
    <xf numFmtId="0" fontId="3" fillId="0" borderId="9" xfId="2" applyFont="1" applyFill="1" applyBorder="1" applyAlignment="1">
      <alignment horizontal="center" vertical="center"/>
    </xf>
    <xf numFmtId="0" fontId="3" fillId="0" borderId="9" xfId="2" applyFont="1" applyFill="1" applyBorder="1" applyAlignment="1">
      <alignment horizontal="center" vertical="center" wrapText="1"/>
    </xf>
    <xf numFmtId="169" fontId="3" fillId="0" borderId="9" xfId="2" applyNumberFormat="1" applyFont="1" applyFill="1" applyBorder="1" applyAlignment="1">
      <alignment horizontal="center" vertical="center" wrapText="1"/>
    </xf>
    <xf numFmtId="0" fontId="3" fillId="0" borderId="9" xfId="2" applyFill="1" applyBorder="1" applyAlignment="1">
      <alignment horizontal="center"/>
    </xf>
    <xf numFmtId="9" fontId="3" fillId="0" borderId="9" xfId="2" applyNumberFormat="1" applyFont="1" applyFill="1" applyBorder="1" applyAlignment="1">
      <alignment horizontal="center"/>
    </xf>
    <xf numFmtId="183" fontId="3" fillId="0" borderId="9" xfId="1" applyNumberFormat="1" applyFont="1" applyFill="1" applyBorder="1" applyAlignment="1">
      <alignment horizontal="center"/>
    </xf>
    <xf numFmtId="169" fontId="3" fillId="0" borderId="9" xfId="3" applyNumberFormat="1" applyFont="1" applyFill="1" applyBorder="1" applyAlignment="1">
      <alignment horizontal="center"/>
    </xf>
    <xf numFmtId="38" fontId="16" fillId="4" borderId="18" xfId="0" applyFont="1" applyFill="1" applyBorder="1" applyAlignment="1">
      <alignment horizontal="center"/>
    </xf>
    <xf numFmtId="38" fontId="16" fillId="4" borderId="17" xfId="0" applyFont="1" applyFill="1" applyBorder="1" applyAlignment="1">
      <alignment horizontal="center"/>
    </xf>
    <xf numFmtId="38" fontId="14" fillId="4" borderId="16" xfId="0" applyFont="1" applyFill="1" applyBorder="1" applyAlignment="1">
      <alignment horizontal="center" vertical="center" wrapText="1"/>
    </xf>
    <xf numFmtId="38" fontId="14" fillId="4" borderId="18" xfId="0" applyFont="1" applyFill="1" applyBorder="1" applyAlignment="1">
      <alignment horizontal="center" vertical="center" wrapText="1"/>
    </xf>
    <xf numFmtId="38" fontId="14" fillId="4" borderId="17" xfId="0" applyFont="1" applyFill="1" applyBorder="1" applyAlignment="1">
      <alignment horizontal="center" vertical="center" wrapText="1"/>
    </xf>
    <xf numFmtId="38" fontId="16" fillId="4" borderId="16" xfId="0" applyFont="1" applyFill="1" applyBorder="1" applyAlignment="1">
      <alignment horizontal="center"/>
    </xf>
    <xf numFmtId="2" fontId="9" fillId="4" borderId="48" xfId="0" applyNumberFormat="1" applyFont="1" applyFill="1" applyBorder="1" applyAlignment="1" applyProtection="1">
      <alignment horizontal="center" vertical="center" wrapText="1"/>
    </xf>
    <xf numFmtId="2" fontId="9" fillId="4" borderId="50" xfId="0" applyNumberFormat="1" applyFont="1" applyFill="1" applyBorder="1" applyAlignment="1" applyProtection="1">
      <alignment horizontal="center" vertical="center" wrapText="1"/>
    </xf>
    <xf numFmtId="170" fontId="9" fillId="4" borderId="12" xfId="0" applyNumberFormat="1" applyFont="1" applyFill="1" applyBorder="1" applyAlignment="1" applyProtection="1">
      <alignment horizontal="center"/>
    </xf>
    <xf numFmtId="170" fontId="9" fillId="4" borderId="29" xfId="0" applyNumberFormat="1" applyFont="1" applyFill="1" applyBorder="1" applyAlignment="1" applyProtection="1">
      <alignment horizontal="center"/>
    </xf>
    <xf numFmtId="38" fontId="14" fillId="4" borderId="16" xfId="0" applyFont="1" applyFill="1" applyBorder="1" applyAlignment="1" applyProtection="1">
      <alignment horizontal="center" vertical="center" wrapText="1"/>
    </xf>
    <xf numFmtId="38" fontId="14" fillId="4" borderId="17" xfId="0" applyFont="1" applyFill="1" applyBorder="1" applyAlignment="1" applyProtection="1">
      <alignment horizontal="center" vertical="center" wrapText="1"/>
    </xf>
    <xf numFmtId="38" fontId="14" fillId="4" borderId="21" xfId="0" applyFont="1" applyFill="1" applyBorder="1" applyAlignment="1" applyProtection="1">
      <alignment horizontal="center" vertical="center" wrapText="1"/>
    </xf>
    <xf numFmtId="38" fontId="14" fillId="4" borderId="22" xfId="0" applyFont="1" applyFill="1" applyBorder="1" applyAlignment="1" applyProtection="1">
      <alignment horizontal="center" vertical="center" wrapText="1"/>
    </xf>
    <xf numFmtId="2" fontId="9" fillId="4" borderId="72" xfId="0" applyNumberFormat="1" applyFont="1" applyFill="1" applyBorder="1" applyAlignment="1" applyProtection="1">
      <alignment horizontal="center" vertical="center" wrapText="1"/>
    </xf>
    <xf numFmtId="2" fontId="9" fillId="4" borderId="45" xfId="0" applyNumberFormat="1" applyFont="1" applyFill="1" applyBorder="1" applyAlignment="1" applyProtection="1">
      <alignment horizontal="center" vertical="center" wrapText="1"/>
    </xf>
    <xf numFmtId="178" fontId="14" fillId="4" borderId="16" xfId="0" applyNumberFormat="1" applyFont="1" applyFill="1" applyBorder="1" applyAlignment="1" applyProtection="1">
      <alignment horizontal="center" vertical="center"/>
    </xf>
    <xf numFmtId="178" fontId="14" fillId="4" borderId="18" xfId="0" applyNumberFormat="1" applyFont="1" applyFill="1" applyBorder="1" applyAlignment="1" applyProtection="1">
      <alignment horizontal="center" vertical="center"/>
    </xf>
    <xf numFmtId="178" fontId="14" fillId="4" borderId="17" xfId="0" applyNumberFormat="1" applyFont="1" applyFill="1" applyBorder="1" applyAlignment="1" applyProtection="1">
      <alignment horizontal="center" vertical="center"/>
    </xf>
    <xf numFmtId="178" fontId="14" fillId="4" borderId="21" xfId="0" applyNumberFormat="1" applyFont="1" applyFill="1" applyBorder="1" applyAlignment="1" applyProtection="1">
      <alignment horizontal="center" vertical="center"/>
    </xf>
    <xf numFmtId="178" fontId="14" fillId="4" borderId="23" xfId="0" applyNumberFormat="1" applyFont="1" applyFill="1" applyBorder="1" applyAlignment="1" applyProtection="1">
      <alignment horizontal="center" vertical="center"/>
    </xf>
    <xf numFmtId="178" fontId="14" fillId="4" borderId="22" xfId="0" applyNumberFormat="1" applyFont="1" applyFill="1" applyBorder="1" applyAlignment="1" applyProtection="1">
      <alignment horizontal="center" vertical="center"/>
    </xf>
    <xf numFmtId="38" fontId="14" fillId="4" borderId="61" xfId="0" applyFont="1" applyFill="1" applyBorder="1" applyAlignment="1" applyProtection="1">
      <alignment horizontal="center" vertical="center" wrapText="1"/>
    </xf>
    <xf numFmtId="181" fontId="14" fillId="4" borderId="61" xfId="0" applyNumberFormat="1" applyFont="1" applyFill="1" applyBorder="1" applyAlignment="1" applyProtection="1">
      <alignment horizontal="center" vertical="center" wrapText="1"/>
    </xf>
    <xf numFmtId="181" fontId="14" fillId="4" borderId="69" xfId="0" applyNumberFormat="1" applyFont="1" applyFill="1" applyBorder="1" applyAlignment="1" applyProtection="1">
      <alignment horizontal="center" vertical="center" wrapText="1"/>
    </xf>
    <xf numFmtId="38" fontId="14" fillId="4" borderId="5" xfId="0" applyFont="1" applyFill="1" applyBorder="1" applyAlignment="1" applyProtection="1">
      <alignment horizontal="center" vertical="center"/>
    </xf>
    <xf numFmtId="38" fontId="14" fillId="4" borderId="6" xfId="0" applyFont="1" applyFill="1" applyBorder="1" applyAlignment="1" applyProtection="1">
      <alignment horizontal="center" vertical="center"/>
    </xf>
    <xf numFmtId="38" fontId="14" fillId="4" borderId="47" xfId="0" applyFont="1" applyFill="1" applyBorder="1" applyAlignment="1" applyProtection="1">
      <alignment horizontal="center" vertical="center"/>
    </xf>
    <xf numFmtId="38" fontId="14" fillId="4" borderId="7" xfId="0" applyFont="1" applyFill="1" applyBorder="1" applyAlignment="1" applyProtection="1">
      <alignment horizontal="center" vertical="center"/>
    </xf>
    <xf numFmtId="38" fontId="14" fillId="4" borderId="35" xfId="0" applyFont="1" applyFill="1" applyBorder="1" applyAlignment="1" applyProtection="1">
      <alignment horizontal="center" vertical="center" wrapText="1"/>
    </xf>
    <xf numFmtId="38" fontId="14" fillId="4" borderId="6" xfId="0" applyFont="1" applyFill="1" applyBorder="1" applyAlignment="1" applyProtection="1">
      <alignment horizontal="center" vertical="center" wrapText="1"/>
    </xf>
    <xf numFmtId="38" fontId="14" fillId="4" borderId="7" xfId="0" applyFont="1" applyFill="1" applyBorder="1" applyAlignment="1" applyProtection="1">
      <alignment horizontal="center" vertical="center" wrapText="1"/>
    </xf>
    <xf numFmtId="38" fontId="14" fillId="4" borderId="60" xfId="0" applyFont="1" applyFill="1" applyBorder="1" applyAlignment="1" applyProtection="1">
      <alignment horizontal="center" vertical="center"/>
    </xf>
    <xf numFmtId="38" fontId="14" fillId="4" borderId="61" xfId="0" applyFont="1" applyFill="1" applyBorder="1" applyAlignment="1" applyProtection="1">
      <alignment horizontal="center" vertical="center"/>
    </xf>
    <xf numFmtId="181" fontId="14" fillId="4" borderId="61" xfId="0" applyNumberFormat="1" applyFont="1" applyFill="1" applyBorder="1" applyAlignment="1" applyProtection="1">
      <alignment horizontal="center" vertical="center"/>
    </xf>
    <xf numFmtId="181" fontId="14" fillId="4" borderId="69" xfId="0" applyNumberFormat="1" applyFont="1" applyFill="1" applyBorder="1" applyAlignment="1" applyProtection="1">
      <alignment horizontal="center" vertical="center"/>
    </xf>
    <xf numFmtId="38" fontId="14" fillId="4" borderId="70" xfId="0" applyFont="1" applyFill="1" applyBorder="1" applyAlignment="1" applyProtection="1">
      <alignment horizontal="center" vertical="center" wrapText="1"/>
    </xf>
    <xf numFmtId="181" fontId="14" fillId="4" borderId="75" xfId="0" applyNumberFormat="1" applyFont="1" applyFill="1" applyBorder="1" applyAlignment="1" applyProtection="1">
      <alignment horizontal="center" vertical="center"/>
    </xf>
    <xf numFmtId="38" fontId="0" fillId="4" borderId="9" xfId="0" applyFill="1" applyBorder="1" applyAlignment="1">
      <alignment horizontal="center"/>
    </xf>
    <xf numFmtId="38" fontId="9" fillId="4" borderId="71" xfId="0" applyFont="1" applyFill="1" applyBorder="1" applyAlignment="1">
      <alignment horizontal="center"/>
    </xf>
    <xf numFmtId="38" fontId="9" fillId="4" borderId="0" xfId="0" applyFont="1" applyFill="1" applyBorder="1" applyAlignment="1">
      <alignment horizontal="center"/>
    </xf>
    <xf numFmtId="38" fontId="9" fillId="4" borderId="20" xfId="0" applyFont="1" applyFill="1" applyBorder="1" applyAlignment="1">
      <alignment horizontal="center"/>
    </xf>
    <xf numFmtId="38" fontId="9" fillId="4" borderId="65" xfId="0" applyFont="1" applyFill="1" applyBorder="1" applyAlignment="1">
      <alignment horizontal="center" vertical="center"/>
    </xf>
    <xf numFmtId="38" fontId="9" fillId="4" borderId="46" xfId="0" applyFont="1" applyFill="1" applyBorder="1" applyAlignment="1">
      <alignment horizontal="center" vertical="center"/>
    </xf>
    <xf numFmtId="38" fontId="9" fillId="4" borderId="2" xfId="0" applyFont="1" applyFill="1" applyBorder="1" applyAlignment="1">
      <alignment horizontal="center" vertical="center"/>
    </xf>
    <xf numFmtId="38" fontId="9" fillId="4" borderId="0" xfId="0" applyFont="1" applyFill="1" applyAlignment="1">
      <alignment horizontal="center"/>
    </xf>
    <xf numFmtId="38" fontId="0" fillId="4" borderId="9" xfId="0" applyFont="1" applyFill="1" applyBorder="1" applyAlignment="1" applyProtection="1">
      <alignment horizontal="right"/>
    </xf>
    <xf numFmtId="38" fontId="10" fillId="4" borderId="30" xfId="0" applyFont="1" applyFill="1" applyBorder="1" applyAlignment="1">
      <alignment horizontal="center"/>
    </xf>
    <xf numFmtId="38" fontId="10" fillId="4" borderId="10" xfId="0" applyFont="1" applyFill="1" applyBorder="1" applyAlignment="1">
      <alignment horizontal="center"/>
    </xf>
    <xf numFmtId="38" fontId="10" fillId="4" borderId="45" xfId="0" applyFont="1" applyFill="1" applyBorder="1" applyAlignment="1">
      <alignment horizontal="center"/>
    </xf>
    <xf numFmtId="38" fontId="10" fillId="4" borderId="42" xfId="0" applyFont="1" applyFill="1" applyBorder="1" applyAlignment="1">
      <alignment horizontal="center"/>
    </xf>
    <xf numFmtId="38" fontId="9" fillId="4" borderId="9" xfId="0" applyNumberFormat="1" applyFont="1" applyFill="1" applyBorder="1" applyAlignment="1" applyProtection="1">
      <alignment horizontal="center" vertical="center"/>
    </xf>
    <xf numFmtId="38" fontId="10" fillId="4" borderId="9" xfId="0" applyFont="1" applyFill="1" applyBorder="1" applyAlignment="1">
      <alignment horizontal="center"/>
    </xf>
    <xf numFmtId="38" fontId="5" fillId="4" borderId="43" xfId="0" applyFont="1" applyFill="1" applyBorder="1" applyAlignment="1">
      <alignment horizontal="left"/>
    </xf>
    <xf numFmtId="38" fontId="5" fillId="4" borderId="10" xfId="0" applyFont="1" applyFill="1" applyBorder="1" applyAlignment="1">
      <alignment horizontal="left"/>
    </xf>
    <xf numFmtId="38" fontId="14" fillId="4" borderId="69" xfId="0" applyFont="1" applyFill="1" applyBorder="1" applyAlignment="1" applyProtection="1">
      <alignment horizontal="center" vertical="center" wrapText="1"/>
    </xf>
    <xf numFmtId="38" fontId="14" fillId="4" borderId="5" xfId="0" applyFont="1" applyFill="1" applyBorder="1" applyAlignment="1" applyProtection="1">
      <alignment horizontal="center" vertical="center" wrapText="1"/>
    </xf>
    <xf numFmtId="173" fontId="4" fillId="4" borderId="12" xfId="0" applyNumberFormat="1" applyFont="1" applyFill="1" applyBorder="1" applyAlignment="1">
      <alignment horizontal="center" vertical="center"/>
    </xf>
    <xf numFmtId="173" fontId="4" fillId="4" borderId="29" xfId="0" applyNumberFormat="1" applyFont="1" applyFill="1" applyBorder="1" applyAlignment="1">
      <alignment horizontal="center" vertical="center"/>
    </xf>
    <xf numFmtId="173" fontId="4" fillId="4" borderId="28" xfId="0" applyNumberFormat="1" applyFont="1" applyFill="1" applyBorder="1" applyAlignment="1">
      <alignment horizontal="center" vertical="center"/>
    </xf>
    <xf numFmtId="38" fontId="14" fillId="4" borderId="24" xfId="0" applyFont="1" applyFill="1" applyBorder="1" applyAlignment="1" applyProtection="1">
      <alignment horizontal="center" vertical="center" wrapText="1"/>
    </xf>
    <xf numFmtId="38" fontId="14" fillId="4" borderId="25" xfId="0" applyFont="1" applyFill="1" applyBorder="1" applyAlignment="1" applyProtection="1">
      <alignment horizontal="center" vertical="center" wrapText="1"/>
    </xf>
    <xf numFmtId="181" fontId="14" fillId="4" borderId="24" xfId="0" applyNumberFormat="1" applyFont="1" applyFill="1" applyBorder="1" applyAlignment="1" applyProtection="1">
      <alignment horizontal="center" vertical="center"/>
    </xf>
    <xf numFmtId="181" fontId="14" fillId="4" borderId="25" xfId="0" applyNumberFormat="1" applyFont="1" applyFill="1" applyBorder="1" applyAlignment="1" applyProtection="1">
      <alignment horizontal="center" vertical="center"/>
    </xf>
    <xf numFmtId="38" fontId="14" fillId="4" borderId="60" xfId="0" applyFont="1" applyFill="1" applyBorder="1" applyAlignment="1" applyProtection="1">
      <alignment horizontal="center" vertical="center" wrapText="1"/>
    </xf>
    <xf numFmtId="173" fontId="5" fillId="4" borderId="43" xfId="0" applyNumberFormat="1" applyFont="1" applyFill="1" applyBorder="1" applyAlignment="1">
      <alignment horizontal="left"/>
    </xf>
    <xf numFmtId="173" fontId="5" fillId="4" borderId="4" xfId="0" applyNumberFormat="1" applyFont="1" applyFill="1" applyBorder="1" applyAlignment="1">
      <alignment horizontal="left"/>
    </xf>
    <xf numFmtId="173" fontId="5" fillId="4" borderId="41" xfId="0" applyNumberFormat="1" applyFont="1" applyFill="1" applyBorder="1" applyAlignment="1">
      <alignment horizontal="left" vertical="center"/>
    </xf>
    <xf numFmtId="173" fontId="5" fillId="4" borderId="31" xfId="0" applyNumberFormat="1" applyFont="1" applyFill="1" applyBorder="1" applyAlignment="1">
      <alignment horizontal="left" vertical="center"/>
    </xf>
    <xf numFmtId="173" fontId="4" fillId="4" borderId="38" xfId="0" applyNumberFormat="1" applyFont="1" applyFill="1" applyBorder="1" applyAlignment="1">
      <alignment horizontal="center" vertical="center"/>
    </xf>
    <xf numFmtId="173" fontId="4" fillId="4" borderId="39" xfId="0" applyNumberFormat="1" applyFont="1" applyFill="1" applyBorder="1" applyAlignment="1">
      <alignment horizontal="center" vertical="center"/>
    </xf>
    <xf numFmtId="173" fontId="4" fillId="4" borderId="48" xfId="0" applyNumberFormat="1" applyFont="1" applyFill="1" applyBorder="1" applyAlignment="1">
      <alignment horizontal="center" vertical="center"/>
    </xf>
    <xf numFmtId="173" fontId="8" fillId="4" borderId="24" xfId="0" applyNumberFormat="1" applyFont="1" applyFill="1" applyBorder="1" applyAlignment="1" applyProtection="1">
      <alignment horizontal="left" vertical="center"/>
      <protection locked="0"/>
    </xf>
    <xf numFmtId="173" fontId="8" fillId="4" borderId="35" xfId="0" applyNumberFormat="1" applyFont="1" applyFill="1" applyBorder="1" applyAlignment="1" applyProtection="1">
      <alignment horizontal="left" vertical="center"/>
      <protection locked="0"/>
    </xf>
    <xf numFmtId="173" fontId="4" fillId="4" borderId="41" xfId="0" applyNumberFormat="1" applyFont="1" applyFill="1" applyBorder="1" applyAlignment="1" applyProtection="1">
      <alignment horizontal="left"/>
      <protection locked="0"/>
    </xf>
    <xf numFmtId="173" fontId="4" fillId="4" borderId="31" xfId="0" applyNumberFormat="1" applyFont="1" applyFill="1" applyBorder="1" applyAlignment="1" applyProtection="1">
      <alignment horizontal="left"/>
      <protection locked="0"/>
    </xf>
    <xf numFmtId="173" fontId="4" fillId="4" borderId="24" xfId="0" applyNumberFormat="1" applyFont="1" applyFill="1" applyBorder="1" applyAlignment="1" applyProtection="1">
      <alignment horizontal="left"/>
      <protection locked="0"/>
    </xf>
    <xf numFmtId="173" fontId="4" fillId="4" borderId="25" xfId="0" applyNumberFormat="1" applyFont="1" applyFill="1" applyBorder="1" applyAlignment="1" applyProtection="1">
      <alignment horizontal="left"/>
      <protection locked="0"/>
    </xf>
    <xf numFmtId="173" fontId="4" fillId="4" borderId="42" xfId="0" applyNumberFormat="1" applyFont="1" applyFill="1" applyBorder="1" applyAlignment="1" applyProtection="1">
      <alignment horizontal="left"/>
      <protection locked="0"/>
    </xf>
    <xf numFmtId="173" fontId="4" fillId="4" borderId="38" xfId="0" applyNumberFormat="1" applyFont="1" applyFill="1" applyBorder="1" applyAlignment="1" applyProtection="1">
      <alignment horizontal="left" vertical="center"/>
      <protection locked="0"/>
    </xf>
    <xf numFmtId="173" fontId="4" fillId="4" borderId="39" xfId="0" applyNumberFormat="1" applyFont="1" applyFill="1" applyBorder="1" applyAlignment="1" applyProtection="1">
      <alignment horizontal="left" vertical="center"/>
      <protection locked="0"/>
    </xf>
    <xf numFmtId="173" fontId="4" fillId="4" borderId="48" xfId="0" applyNumberFormat="1" applyFont="1" applyFill="1" applyBorder="1" applyAlignment="1" applyProtection="1">
      <alignment horizontal="left" vertical="center"/>
      <protection locked="0"/>
    </xf>
    <xf numFmtId="173" fontId="8" fillId="4" borderId="24" xfId="0" applyNumberFormat="1" applyFont="1" applyFill="1" applyBorder="1" applyAlignment="1" applyProtection="1">
      <alignment horizontal="left"/>
      <protection locked="0"/>
    </xf>
    <xf numFmtId="173" fontId="8" fillId="4" borderId="35" xfId="0" applyNumberFormat="1" applyFont="1" applyFill="1" applyBorder="1" applyAlignment="1" applyProtection="1">
      <alignment horizontal="left"/>
      <protection locked="0"/>
    </xf>
    <xf numFmtId="173" fontId="4" fillId="4" borderId="39" xfId="0" applyNumberFormat="1" applyFont="1" applyFill="1" applyBorder="1" applyAlignment="1" applyProtection="1">
      <alignment horizontal="center" vertical="center"/>
      <protection locked="0"/>
    </xf>
    <xf numFmtId="173" fontId="4" fillId="4" borderId="48" xfId="0" applyNumberFormat="1" applyFont="1" applyFill="1" applyBorder="1" applyAlignment="1" applyProtection="1">
      <alignment horizontal="center" vertical="center"/>
      <protection locked="0"/>
    </xf>
    <xf numFmtId="173" fontId="4" fillId="4" borderId="38" xfId="0" applyNumberFormat="1" applyFont="1" applyFill="1" applyBorder="1" applyAlignment="1" applyProtection="1">
      <alignment horizontal="center" vertical="center"/>
      <protection locked="0"/>
    </xf>
    <xf numFmtId="173" fontId="4" fillId="4" borderId="16" xfId="0" applyNumberFormat="1" applyFont="1" applyFill="1" applyBorder="1" applyAlignment="1" applyProtection="1">
      <alignment horizontal="center"/>
      <protection locked="0"/>
    </xf>
    <xf numFmtId="173" fontId="4" fillId="4" borderId="18" xfId="0" applyNumberFormat="1" applyFont="1" applyFill="1" applyBorder="1" applyAlignment="1" applyProtection="1">
      <alignment horizontal="center"/>
      <protection locked="0"/>
    </xf>
    <xf numFmtId="173" fontId="4" fillId="4" borderId="17" xfId="0" applyNumberFormat="1" applyFont="1" applyFill="1" applyBorder="1" applyAlignment="1" applyProtection="1">
      <alignment horizontal="center"/>
      <protection locked="0"/>
    </xf>
    <xf numFmtId="173" fontId="4" fillId="4" borderId="12" xfId="0" applyNumberFormat="1" applyFont="1" applyFill="1" applyBorder="1" applyAlignment="1" applyProtection="1">
      <alignment horizontal="center" vertical="center"/>
      <protection locked="0"/>
    </xf>
    <xf numFmtId="173" fontId="4" fillId="4" borderId="29" xfId="0" applyNumberFormat="1" applyFont="1" applyFill="1" applyBorder="1" applyAlignment="1" applyProtection="1">
      <alignment horizontal="center" vertical="center"/>
      <protection locked="0"/>
    </xf>
    <xf numFmtId="173" fontId="4" fillId="4" borderId="72" xfId="0" applyNumberFormat="1" applyFont="1" applyFill="1" applyBorder="1" applyAlignment="1" applyProtection="1">
      <alignment horizontal="center" vertical="center"/>
      <protection locked="0"/>
    </xf>
    <xf numFmtId="173" fontId="4" fillId="4" borderId="28" xfId="0" applyNumberFormat="1" applyFont="1" applyFill="1" applyBorder="1" applyAlignment="1" applyProtection="1">
      <alignment horizontal="center" vertical="center"/>
      <protection locked="0"/>
    </xf>
    <xf numFmtId="173" fontId="4" fillId="4" borderId="40" xfId="0" applyNumberFormat="1" applyFont="1" applyFill="1" applyBorder="1" applyAlignment="1" applyProtection="1">
      <alignment horizontal="center" vertical="center"/>
      <protection locked="0"/>
    </xf>
    <xf numFmtId="173" fontId="4" fillId="4" borderId="43" xfId="0" applyNumberFormat="1" applyFont="1" applyFill="1" applyBorder="1" applyAlignment="1" applyProtection="1">
      <alignment horizontal="left" vertical="center"/>
      <protection locked="0"/>
    </xf>
    <xf numFmtId="173" fontId="4" fillId="4" borderId="10" xfId="0" applyNumberFormat="1" applyFont="1" applyFill="1" applyBorder="1" applyAlignment="1" applyProtection="1">
      <alignment horizontal="left" vertical="center"/>
      <protection locked="0"/>
    </xf>
    <xf numFmtId="173" fontId="4" fillId="4" borderId="44" xfId="0" applyNumberFormat="1" applyFont="1" applyFill="1" applyBorder="1" applyAlignment="1" applyProtection="1">
      <alignment horizontal="left" vertical="center"/>
      <protection locked="0"/>
    </xf>
    <xf numFmtId="173" fontId="4" fillId="4" borderId="4" xfId="0" applyNumberFormat="1" applyFont="1" applyFill="1" applyBorder="1" applyAlignment="1" applyProtection="1">
      <alignment horizontal="center" vertical="center"/>
      <protection locked="0"/>
    </xf>
    <xf numFmtId="173" fontId="4" fillId="4" borderId="9" xfId="0" applyNumberFormat="1" applyFont="1" applyFill="1" applyBorder="1" applyAlignment="1" applyProtection="1">
      <alignment horizontal="center" vertical="center"/>
      <protection locked="0"/>
    </xf>
    <xf numFmtId="173" fontId="4" fillId="4" borderId="30" xfId="0" applyNumberFormat="1" applyFont="1" applyFill="1" applyBorder="1" applyAlignment="1" applyProtection="1">
      <alignment horizontal="center" vertical="center"/>
      <protection locked="0"/>
    </xf>
    <xf numFmtId="173" fontId="4" fillId="4" borderId="3" xfId="0" applyNumberFormat="1" applyFont="1" applyFill="1" applyBorder="1" applyAlignment="1" applyProtection="1">
      <alignment horizontal="center" vertical="center"/>
      <protection locked="0"/>
    </xf>
    <xf numFmtId="173" fontId="4" fillId="4" borderId="11" xfId="0" applyNumberFormat="1" applyFont="1" applyFill="1" applyBorder="1" applyAlignment="1" applyProtection="1">
      <alignment horizontal="center" vertical="center"/>
      <protection locked="0"/>
    </xf>
    <xf numFmtId="173" fontId="14" fillId="4" borderId="38" xfId="0" applyNumberFormat="1" applyFont="1" applyFill="1" applyBorder="1" applyAlignment="1" applyProtection="1">
      <alignment horizontal="center" vertical="center"/>
      <protection locked="0"/>
    </xf>
    <xf numFmtId="173" fontId="14" fillId="4" borderId="39" xfId="0" applyNumberFormat="1" applyFont="1" applyFill="1" applyBorder="1" applyAlignment="1" applyProtection="1">
      <alignment horizontal="center" vertical="center"/>
      <protection locked="0"/>
    </xf>
    <xf numFmtId="173" fontId="14" fillId="4" borderId="48" xfId="0" applyNumberFormat="1" applyFont="1" applyFill="1" applyBorder="1" applyAlignment="1" applyProtection="1">
      <alignment horizontal="center" vertical="center"/>
      <protection locked="0"/>
    </xf>
    <xf numFmtId="173" fontId="14" fillId="4" borderId="12" xfId="0" applyNumberFormat="1" applyFont="1" applyFill="1" applyBorder="1" applyAlignment="1" applyProtection="1">
      <alignment horizontal="center" vertical="center"/>
      <protection locked="0"/>
    </xf>
    <xf numFmtId="173" fontId="14" fillId="4" borderId="29" xfId="0" applyNumberFormat="1" applyFont="1" applyFill="1" applyBorder="1" applyAlignment="1" applyProtection="1">
      <alignment horizontal="center" vertical="center"/>
      <protection locked="0"/>
    </xf>
    <xf numFmtId="173" fontId="14" fillId="4" borderId="28" xfId="0" applyNumberFormat="1" applyFont="1" applyFill="1" applyBorder="1" applyAlignment="1" applyProtection="1">
      <alignment horizontal="center" vertical="center"/>
      <protection locked="0"/>
    </xf>
    <xf numFmtId="173" fontId="4" fillId="4" borderId="16" xfId="0" applyNumberFormat="1" applyFont="1" applyFill="1" applyBorder="1" applyAlignment="1" applyProtection="1">
      <alignment horizontal="center" vertical="center"/>
      <protection locked="0"/>
    </xf>
    <xf numFmtId="173" fontId="4" fillId="4" borderId="18" xfId="0" applyNumberFormat="1" applyFont="1" applyFill="1" applyBorder="1" applyAlignment="1" applyProtection="1">
      <alignment horizontal="center" vertical="center"/>
      <protection locked="0"/>
    </xf>
    <xf numFmtId="173" fontId="4" fillId="4" borderId="17" xfId="0" applyNumberFormat="1" applyFont="1" applyFill="1" applyBorder="1" applyAlignment="1" applyProtection="1">
      <alignment horizontal="center" vertical="center"/>
      <protection locked="0"/>
    </xf>
    <xf numFmtId="173" fontId="14" fillId="4" borderId="24" xfId="0" applyNumberFormat="1" applyFont="1" applyFill="1" applyBorder="1" applyAlignment="1" applyProtection="1">
      <alignment horizontal="center" vertical="center"/>
      <protection locked="0"/>
    </xf>
    <xf numFmtId="173" fontId="14" fillId="4" borderId="25" xfId="0" applyNumberFormat="1" applyFont="1" applyFill="1" applyBorder="1" applyAlignment="1" applyProtection="1">
      <alignment horizontal="center" vertical="center"/>
      <protection locked="0"/>
    </xf>
    <xf numFmtId="173" fontId="14" fillId="4" borderId="26" xfId="0" applyNumberFormat="1" applyFont="1" applyFill="1" applyBorder="1" applyAlignment="1" applyProtection="1">
      <alignment horizontal="center" vertical="center"/>
      <protection locked="0"/>
    </xf>
    <xf numFmtId="173" fontId="14" fillId="4" borderId="12" xfId="0" applyNumberFormat="1" applyFont="1" applyFill="1" applyBorder="1" applyAlignment="1" applyProtection="1">
      <alignment horizontal="center" vertical="center" wrapText="1"/>
      <protection locked="0"/>
    </xf>
    <xf numFmtId="173" fontId="14" fillId="4" borderId="29" xfId="0" applyNumberFormat="1" applyFont="1" applyFill="1" applyBorder="1" applyAlignment="1" applyProtection="1">
      <alignment horizontal="center" vertical="center" wrapText="1"/>
      <protection locked="0"/>
    </xf>
    <xf numFmtId="173" fontId="14" fillId="4" borderId="28" xfId="0" applyNumberFormat="1" applyFont="1" applyFill="1" applyBorder="1" applyAlignment="1" applyProtection="1">
      <alignment horizontal="center" vertical="center" wrapText="1"/>
      <protection locked="0"/>
    </xf>
    <xf numFmtId="173" fontId="14" fillId="4" borderId="8" xfId="0" applyNumberFormat="1" applyFont="1" applyFill="1" applyBorder="1" applyAlignment="1" applyProtection="1">
      <alignment horizontal="center" vertical="center"/>
      <protection locked="0"/>
    </xf>
    <xf numFmtId="173" fontId="14" fillId="4" borderId="13" xfId="0" applyNumberFormat="1" applyFont="1" applyFill="1" applyBorder="1" applyAlignment="1" applyProtection="1">
      <alignment horizontal="center" vertical="center"/>
      <protection locked="0"/>
    </xf>
    <xf numFmtId="173" fontId="14" fillId="4" borderId="27" xfId="0" applyNumberFormat="1" applyFont="1" applyFill="1" applyBorder="1" applyAlignment="1" applyProtection="1">
      <alignment horizontal="center" vertical="center"/>
      <protection locked="0"/>
    </xf>
    <xf numFmtId="178" fontId="14" fillId="4" borderId="16" xfId="0" applyNumberFormat="1" applyFont="1" applyFill="1" applyBorder="1" applyAlignment="1" applyProtection="1">
      <alignment horizontal="center" vertical="center"/>
      <protection locked="0"/>
    </xf>
    <xf numFmtId="178" fontId="14" fillId="4" borderId="18" xfId="0" applyNumberFormat="1" applyFont="1" applyFill="1" applyBorder="1" applyAlignment="1" applyProtection="1">
      <alignment horizontal="center" vertical="center"/>
      <protection locked="0"/>
    </xf>
    <xf numFmtId="173" fontId="9" fillId="4" borderId="16" xfId="0" applyNumberFormat="1" applyFont="1" applyFill="1" applyBorder="1" applyAlignment="1" applyProtection="1">
      <alignment horizontal="center" vertical="center" wrapText="1"/>
      <protection locked="0"/>
    </xf>
    <xf numFmtId="173" fontId="9" fillId="4" borderId="18" xfId="0" applyNumberFormat="1" applyFont="1" applyFill="1" applyBorder="1" applyAlignment="1" applyProtection="1">
      <alignment horizontal="center" vertical="center" wrapText="1"/>
      <protection locked="0"/>
    </xf>
    <xf numFmtId="173" fontId="9" fillId="4" borderId="19" xfId="0" applyNumberFormat="1" applyFont="1" applyFill="1" applyBorder="1" applyAlignment="1" applyProtection="1">
      <alignment horizontal="center" vertical="center" wrapText="1"/>
      <protection locked="0"/>
    </xf>
    <xf numFmtId="173" fontId="9" fillId="4" borderId="0" xfId="0" applyNumberFormat="1" applyFont="1" applyFill="1" applyBorder="1" applyAlignment="1" applyProtection="1">
      <alignment horizontal="center" vertical="center" wrapText="1"/>
      <protection locked="0"/>
    </xf>
    <xf numFmtId="173" fontId="9" fillId="4" borderId="21" xfId="0" applyNumberFormat="1" applyFont="1" applyFill="1" applyBorder="1" applyAlignment="1" applyProtection="1">
      <alignment horizontal="center" vertical="center" wrapText="1"/>
      <protection locked="0"/>
    </xf>
    <xf numFmtId="173" fontId="9" fillId="4" borderId="23" xfId="0" applyNumberFormat="1" applyFont="1" applyFill="1" applyBorder="1" applyAlignment="1" applyProtection="1">
      <alignment horizontal="center" vertical="center" wrapText="1"/>
      <protection locked="0"/>
    </xf>
    <xf numFmtId="181" fontId="14" fillId="4" borderId="24" xfId="0" applyNumberFormat="1" applyFont="1" applyFill="1" applyBorder="1" applyAlignment="1" applyProtection="1">
      <alignment horizontal="center" vertical="center"/>
      <protection locked="0"/>
    </xf>
    <xf numFmtId="181" fontId="14" fillId="4" borderId="25" xfId="0" applyNumberFormat="1" applyFont="1" applyFill="1" applyBorder="1" applyAlignment="1" applyProtection="1">
      <alignment horizontal="center" vertical="center"/>
      <protection locked="0"/>
    </xf>
    <xf numFmtId="173" fontId="14" fillId="4" borderId="37" xfId="0" applyNumberFormat="1" applyFont="1" applyFill="1" applyBorder="1" applyAlignment="1" applyProtection="1">
      <alignment horizontal="center" vertical="center"/>
      <protection locked="0"/>
    </xf>
    <xf numFmtId="173" fontId="14" fillId="4" borderId="36" xfId="0" applyNumberFormat="1" applyFont="1" applyFill="1" applyBorder="1" applyAlignment="1" applyProtection="1">
      <alignment horizontal="center" vertical="center"/>
      <protection locked="0"/>
    </xf>
    <xf numFmtId="173" fontId="14" fillId="4" borderId="32" xfId="0" applyNumberFormat="1" applyFont="1" applyFill="1" applyBorder="1" applyAlignment="1" applyProtection="1">
      <alignment horizontal="center" vertical="center"/>
      <protection locked="0"/>
    </xf>
    <xf numFmtId="1" fontId="9" fillId="4" borderId="12" xfId="0" applyNumberFormat="1" applyFont="1" applyFill="1" applyBorder="1" applyAlignment="1" applyProtection="1">
      <alignment horizontal="center" vertical="center"/>
      <protection locked="0"/>
    </xf>
    <xf numFmtId="1" fontId="9" fillId="4" borderId="29" xfId="0" applyNumberFormat="1" applyFont="1" applyFill="1" applyBorder="1" applyAlignment="1" applyProtection="1">
      <alignment horizontal="center" vertical="center"/>
      <protection locked="0"/>
    </xf>
    <xf numFmtId="173" fontId="9" fillId="4" borderId="28" xfId="0" applyNumberFormat="1" applyFont="1" applyFill="1" applyBorder="1" applyAlignment="1" applyProtection="1">
      <alignment horizontal="center" vertical="center" wrapText="1"/>
      <protection locked="0"/>
    </xf>
    <xf numFmtId="173" fontId="9" fillId="4" borderId="27" xfId="0" applyNumberFormat="1" applyFont="1" applyFill="1" applyBorder="1" applyAlignment="1" applyProtection="1">
      <alignment horizontal="center" vertical="center" wrapText="1"/>
      <protection locked="0"/>
    </xf>
    <xf numFmtId="173" fontId="14" fillId="4" borderId="8" xfId="0" applyNumberFormat="1" applyFont="1" applyFill="1" applyBorder="1" applyAlignment="1" applyProtection="1">
      <alignment horizontal="center" vertical="center" wrapText="1"/>
      <protection locked="0"/>
    </xf>
    <xf numFmtId="173" fontId="14" fillId="4" borderId="13" xfId="0" applyNumberFormat="1" applyFont="1" applyFill="1" applyBorder="1" applyAlignment="1" applyProtection="1">
      <alignment horizontal="center" vertical="center" wrapText="1"/>
      <protection locked="0"/>
    </xf>
    <xf numFmtId="173" fontId="14" fillId="4" borderId="27" xfId="0" applyNumberFormat="1" applyFont="1" applyFill="1" applyBorder="1" applyAlignment="1" applyProtection="1">
      <alignment horizontal="center" vertical="center" wrapText="1"/>
      <protection locked="0"/>
    </xf>
    <xf numFmtId="173" fontId="14" fillId="4" borderId="16" xfId="0" applyNumberFormat="1" applyFont="1" applyFill="1" applyBorder="1" applyAlignment="1" applyProtection="1">
      <alignment horizontal="center" vertical="center"/>
      <protection locked="0"/>
    </xf>
    <xf numFmtId="173" fontId="14" fillId="4" borderId="18" xfId="0" applyNumberFormat="1" applyFont="1" applyFill="1" applyBorder="1" applyAlignment="1" applyProtection="1">
      <alignment horizontal="center" vertical="center"/>
      <protection locked="0"/>
    </xf>
    <xf numFmtId="173" fontId="14" fillId="4" borderId="17" xfId="0" applyNumberFormat="1" applyFont="1" applyFill="1" applyBorder="1" applyAlignment="1" applyProtection="1">
      <alignment horizontal="center" vertical="center"/>
      <protection locked="0"/>
    </xf>
    <xf numFmtId="173" fontId="9" fillId="4" borderId="48" xfId="0" applyNumberFormat="1" applyFont="1" applyFill="1" applyBorder="1" applyAlignment="1" applyProtection="1">
      <alignment horizontal="center" vertical="center" wrapText="1"/>
      <protection locked="0"/>
    </xf>
    <xf numFmtId="173" fontId="9" fillId="4" borderId="68" xfId="0" applyNumberFormat="1" applyFont="1" applyFill="1" applyBorder="1" applyAlignment="1" applyProtection="1">
      <alignment horizontal="center" vertical="center" wrapText="1"/>
      <protection locked="0"/>
    </xf>
    <xf numFmtId="38" fontId="8" fillId="4" borderId="38" xfId="0" applyFont="1" applyFill="1" applyBorder="1" applyAlignment="1" applyProtection="1">
      <alignment horizontal="left" vertical="center" wrapText="1"/>
    </xf>
    <xf numFmtId="38" fontId="8" fillId="4" borderId="39" xfId="0" applyFont="1" applyFill="1" applyBorder="1" applyAlignment="1" applyProtection="1">
      <alignment horizontal="left" vertical="center" wrapText="1"/>
    </xf>
    <xf numFmtId="38" fontId="14" fillId="4" borderId="29" xfId="0" applyFont="1" applyFill="1" applyBorder="1" applyAlignment="1" applyProtection="1">
      <alignment horizontal="center"/>
    </xf>
    <xf numFmtId="38" fontId="14" fillId="4" borderId="28" xfId="0" applyFont="1" applyFill="1" applyBorder="1" applyAlignment="1" applyProtection="1">
      <alignment horizontal="center"/>
    </xf>
    <xf numFmtId="38" fontId="14" fillId="4" borderId="12" xfId="0" applyFont="1" applyFill="1" applyBorder="1" applyAlignment="1" applyProtection="1">
      <alignment horizontal="center"/>
    </xf>
    <xf numFmtId="181" fontId="14" fillId="4" borderId="26" xfId="0" applyNumberFormat="1" applyFont="1" applyFill="1" applyBorder="1" applyAlignment="1" applyProtection="1">
      <alignment horizontal="center" vertical="center"/>
    </xf>
    <xf numFmtId="38" fontId="14" fillId="4" borderId="41" xfId="0" applyFont="1" applyFill="1" applyBorder="1" applyAlignment="1" applyProtection="1">
      <alignment horizontal="center" vertical="center"/>
    </xf>
    <xf numFmtId="38" fontId="14" fillId="4" borderId="42" xfId="0" applyFont="1" applyFill="1" applyBorder="1" applyAlignment="1" applyProtection="1">
      <alignment horizontal="center" vertical="center"/>
    </xf>
    <xf numFmtId="38" fontId="14" fillId="4" borderId="50" xfId="0" applyFont="1" applyFill="1" applyBorder="1" applyAlignment="1" applyProtection="1">
      <alignment horizontal="center" vertical="center"/>
    </xf>
    <xf numFmtId="178" fontId="14" fillId="4" borderId="16" xfId="0" applyNumberFormat="1" applyFont="1" applyFill="1" applyBorder="1" applyAlignment="1" applyProtection="1">
      <alignment horizontal="center"/>
    </xf>
    <xf numFmtId="178" fontId="14" fillId="4" borderId="18" xfId="0" applyNumberFormat="1" applyFont="1" applyFill="1" applyBorder="1" applyAlignment="1" applyProtection="1">
      <alignment horizontal="center"/>
    </xf>
    <xf numFmtId="178" fontId="14" fillId="4" borderId="17" xfId="0" applyNumberFormat="1" applyFont="1" applyFill="1" applyBorder="1" applyAlignment="1" applyProtection="1">
      <alignment horizontal="center"/>
    </xf>
    <xf numFmtId="38" fontId="14" fillId="4" borderId="24" xfId="0" applyNumberFormat="1" applyFont="1" applyFill="1" applyBorder="1" applyAlignment="1" applyProtection="1">
      <alignment horizontal="center" vertical="center"/>
    </xf>
    <xf numFmtId="38" fontId="14" fillId="4" borderId="25" xfId="0" applyNumberFormat="1" applyFont="1" applyFill="1" applyBorder="1" applyAlignment="1" applyProtection="1">
      <alignment horizontal="center" vertical="center"/>
    </xf>
    <xf numFmtId="38" fontId="14" fillId="4" borderId="26" xfId="0" applyNumberFormat="1" applyFont="1" applyFill="1" applyBorder="1" applyAlignment="1" applyProtection="1">
      <alignment horizontal="center" vertical="center"/>
    </xf>
    <xf numFmtId="38" fontId="14" fillId="4" borderId="16" xfId="0" applyFont="1" applyFill="1" applyBorder="1" applyAlignment="1">
      <alignment horizontal="center" vertical="center"/>
    </xf>
    <xf numFmtId="38" fontId="14" fillId="4" borderId="18" xfId="0" applyFont="1" applyFill="1" applyBorder="1" applyAlignment="1">
      <alignment horizontal="center" vertical="center"/>
    </xf>
    <xf numFmtId="38" fontId="14" fillId="4" borderId="17" xfId="0" applyFont="1" applyFill="1" applyBorder="1" applyAlignment="1">
      <alignment horizontal="center" vertical="center"/>
    </xf>
    <xf numFmtId="38" fontId="14" fillId="4" borderId="19" xfId="0" applyFont="1" applyFill="1" applyBorder="1" applyAlignment="1">
      <alignment horizontal="center" vertical="center"/>
    </xf>
    <xf numFmtId="38" fontId="14" fillId="4" borderId="0" xfId="0" applyFont="1" applyFill="1" applyBorder="1" applyAlignment="1">
      <alignment horizontal="center" vertical="center"/>
    </xf>
    <xf numFmtId="38" fontId="14" fillId="4" borderId="20" xfId="0" applyFont="1" applyFill="1" applyBorder="1" applyAlignment="1">
      <alignment horizontal="center" vertical="center"/>
    </xf>
    <xf numFmtId="38" fontId="14" fillId="4" borderId="21" xfId="0" applyFont="1" applyFill="1" applyBorder="1" applyAlignment="1">
      <alignment horizontal="center" vertical="center"/>
    </xf>
    <xf numFmtId="38" fontId="14" fillId="4" borderId="23" xfId="0" applyFont="1" applyFill="1" applyBorder="1" applyAlignment="1">
      <alignment horizontal="center" vertical="center"/>
    </xf>
    <xf numFmtId="38" fontId="14" fillId="4" borderId="22" xfId="0" applyFont="1" applyFill="1" applyBorder="1" applyAlignment="1">
      <alignment horizontal="center" vertical="center"/>
    </xf>
    <xf numFmtId="170" fontId="9" fillId="4" borderId="12" xfId="0" applyNumberFormat="1" applyFont="1" applyFill="1" applyBorder="1" applyAlignment="1" applyProtection="1">
      <alignment horizontal="center" vertical="center"/>
    </xf>
    <xf numFmtId="170" fontId="9" fillId="4" borderId="29" xfId="0" applyNumberFormat="1" applyFont="1" applyFill="1" applyBorder="1" applyAlignment="1" applyProtection="1">
      <alignment horizontal="center" vertical="center"/>
    </xf>
    <xf numFmtId="2" fontId="9" fillId="4" borderId="28" xfId="0" applyNumberFormat="1" applyFont="1" applyFill="1" applyBorder="1" applyAlignment="1" applyProtection="1">
      <alignment horizontal="center" vertical="center" wrapText="1"/>
    </xf>
    <xf numFmtId="2" fontId="9" fillId="4" borderId="27" xfId="0" applyNumberFormat="1" applyFont="1" applyFill="1" applyBorder="1" applyAlignment="1" applyProtection="1">
      <alignment horizontal="center" vertical="center" wrapText="1"/>
    </xf>
    <xf numFmtId="170" fontId="9" fillId="4" borderId="40" xfId="0" applyNumberFormat="1" applyFont="1" applyFill="1" applyBorder="1" applyAlignment="1" applyProtection="1">
      <alignment horizontal="center" vertical="center"/>
    </xf>
    <xf numFmtId="170" fontId="9" fillId="4" borderId="28" xfId="0" applyNumberFormat="1" applyFont="1" applyFill="1" applyBorder="1" applyAlignment="1" applyProtection="1">
      <alignment horizontal="center" vertical="center"/>
    </xf>
    <xf numFmtId="2" fontId="9" fillId="4" borderId="68" xfId="0" applyNumberFormat="1" applyFont="1" applyFill="1" applyBorder="1" applyAlignment="1" applyProtection="1">
      <alignment horizontal="center" vertical="center" wrapText="1"/>
    </xf>
    <xf numFmtId="38" fontId="8" fillId="4" borderId="29" xfId="0" applyFont="1" applyFill="1" applyBorder="1" applyAlignment="1" applyProtection="1">
      <alignment horizontal="center" vertical="center" wrapText="1"/>
    </xf>
    <xf numFmtId="38" fontId="14" fillId="4" borderId="21" xfId="0" applyFont="1" applyFill="1" applyBorder="1" applyAlignment="1" applyProtection="1">
      <alignment horizontal="center" vertical="center"/>
    </xf>
    <xf numFmtId="38" fontId="14" fillId="4" borderId="23" xfId="0" applyFont="1" applyFill="1" applyBorder="1" applyAlignment="1" applyProtection="1">
      <alignment horizontal="center" vertical="center"/>
    </xf>
    <xf numFmtId="38" fontId="14" fillId="4" borderId="22" xfId="0" applyFont="1" applyFill="1" applyBorder="1" applyAlignment="1" applyProtection="1">
      <alignment horizontal="center" vertical="center"/>
    </xf>
    <xf numFmtId="38" fontId="8" fillId="4" borderId="28" xfId="0" applyFont="1" applyFill="1" applyBorder="1" applyAlignment="1" applyProtection="1">
      <alignment horizontal="center" vertical="center" wrapText="1"/>
    </xf>
    <xf numFmtId="38" fontId="14" fillId="4" borderId="41" xfId="0" applyFont="1" applyFill="1" applyBorder="1" applyAlignment="1" applyProtection="1">
      <alignment horizontal="center" vertical="center" wrapText="1"/>
    </xf>
    <xf numFmtId="38" fontId="14" fillId="4" borderId="42" xfId="0" applyFont="1" applyFill="1" applyBorder="1" applyAlignment="1" applyProtection="1">
      <alignment horizontal="center" vertical="center" wrapText="1"/>
    </xf>
    <xf numFmtId="38" fontId="14" fillId="4" borderId="50" xfId="0" applyFont="1" applyFill="1" applyBorder="1" applyAlignment="1" applyProtection="1">
      <alignment horizontal="center" vertical="center" wrapText="1"/>
    </xf>
    <xf numFmtId="38" fontId="8" fillId="4" borderId="12" xfId="0" applyFont="1" applyFill="1" applyBorder="1" applyAlignment="1" applyProtection="1">
      <alignment horizontal="center" vertical="center" wrapText="1"/>
    </xf>
    <xf numFmtId="38" fontId="14" fillId="4" borderId="12" xfId="0" applyFont="1" applyFill="1" applyBorder="1" applyAlignment="1" applyProtection="1">
      <alignment horizontal="center" vertical="center" wrapText="1"/>
    </xf>
    <xf numFmtId="38" fontId="14" fillId="4" borderId="29" xfId="0" applyFont="1" applyFill="1" applyBorder="1" applyAlignment="1" applyProtection="1">
      <alignment horizontal="center" vertical="center" wrapText="1"/>
    </xf>
    <xf numFmtId="173" fontId="9" fillId="4" borderId="24" xfId="0" applyNumberFormat="1" applyFont="1" applyFill="1" applyBorder="1" applyAlignment="1">
      <alignment horizontal="center"/>
    </xf>
    <xf numFmtId="173" fontId="9" fillId="4" borderId="26" xfId="0" applyNumberFormat="1" applyFont="1" applyFill="1" applyBorder="1" applyAlignment="1">
      <alignment horizontal="center"/>
    </xf>
    <xf numFmtId="38" fontId="14" fillId="4" borderId="24" xfId="0" applyFont="1" applyFill="1" applyBorder="1" applyAlignment="1" applyProtection="1">
      <alignment horizontal="center" vertical="center"/>
    </xf>
    <xf numFmtId="38" fontId="14" fillId="4" borderId="25" xfId="0" applyFont="1" applyFill="1" applyBorder="1" applyAlignment="1" applyProtection="1">
      <alignment horizontal="center" vertical="center"/>
    </xf>
    <xf numFmtId="38" fontId="14" fillId="4" borderId="26" xfId="0" applyFont="1" applyFill="1" applyBorder="1" applyAlignment="1" applyProtection="1">
      <alignment horizontal="center" vertical="center"/>
    </xf>
    <xf numFmtId="38" fontId="14" fillId="4" borderId="16" xfId="0" applyFont="1" applyFill="1" applyBorder="1" applyAlignment="1" applyProtection="1">
      <alignment horizontal="center" vertical="center"/>
    </xf>
    <xf numFmtId="38" fontId="14" fillId="4" borderId="18" xfId="0" applyFont="1" applyFill="1" applyBorder="1" applyAlignment="1" applyProtection="1">
      <alignment horizontal="center" vertical="center"/>
    </xf>
    <xf numFmtId="38" fontId="14" fillId="4" borderId="17" xfId="0" applyFont="1" applyFill="1" applyBorder="1" applyAlignment="1" applyProtection="1">
      <alignment horizontal="center" vertical="center"/>
    </xf>
    <xf numFmtId="38" fontId="14" fillId="4" borderId="28" xfId="0" applyFont="1" applyFill="1" applyBorder="1" applyAlignment="1" applyProtection="1">
      <alignment horizontal="center" vertical="center" wrapText="1"/>
    </xf>
    <xf numFmtId="38" fontId="14" fillId="4" borderId="8" xfId="0" applyFont="1" applyFill="1" applyBorder="1" applyAlignment="1" applyProtection="1">
      <alignment horizontal="center" vertical="center"/>
    </xf>
    <xf numFmtId="38" fontId="14" fillId="4" borderId="13" xfId="0" applyFont="1" applyFill="1" applyBorder="1" applyAlignment="1" applyProtection="1">
      <alignment horizontal="center" vertical="center"/>
    </xf>
    <xf numFmtId="38" fontId="14" fillId="4" borderId="27" xfId="0" applyFont="1" applyFill="1" applyBorder="1" applyAlignment="1" applyProtection="1">
      <alignment horizontal="center" vertical="center"/>
    </xf>
    <xf numFmtId="38" fontId="14" fillId="4" borderId="8" xfId="0" applyFont="1" applyFill="1" applyBorder="1" applyAlignment="1" applyProtection="1">
      <alignment horizontal="center" vertical="center" wrapText="1"/>
    </xf>
    <xf numFmtId="38" fontId="14" fillId="4" borderId="13" xfId="0" applyFont="1" applyFill="1" applyBorder="1" applyAlignment="1" applyProtection="1">
      <alignment horizontal="center" vertical="center" wrapText="1"/>
    </xf>
    <xf numFmtId="38" fontId="14" fillId="4" borderId="27" xfId="0" applyFont="1" applyFill="1" applyBorder="1" applyAlignment="1" applyProtection="1">
      <alignment horizontal="center" vertical="center" wrapText="1"/>
    </xf>
    <xf numFmtId="38" fontId="9" fillId="4" borderId="16" xfId="0" applyFont="1" applyFill="1" applyBorder="1" applyAlignment="1">
      <alignment horizontal="center" vertical="center"/>
    </xf>
    <xf numFmtId="38" fontId="9" fillId="4" borderId="17" xfId="0" applyFont="1" applyFill="1" applyBorder="1" applyAlignment="1">
      <alignment horizontal="center" vertical="center"/>
    </xf>
    <xf numFmtId="38" fontId="14" fillId="4" borderId="12" xfId="0" applyFont="1" applyFill="1" applyBorder="1" applyAlignment="1" applyProtection="1">
      <alignment horizontal="center" vertical="center"/>
    </xf>
    <xf numFmtId="38" fontId="14" fillId="4" borderId="29" xfId="0" applyFont="1" applyFill="1" applyBorder="1" applyAlignment="1" applyProtection="1">
      <alignment horizontal="center" vertical="center"/>
    </xf>
    <xf numFmtId="173" fontId="4" fillId="4" borderId="38" xfId="0" applyNumberFormat="1" applyFont="1" applyFill="1" applyBorder="1" applyAlignment="1">
      <alignment horizontal="left" vertical="center"/>
    </xf>
    <xf numFmtId="173" fontId="4" fillId="4" borderId="48" xfId="0" applyNumberFormat="1" applyFont="1" applyFill="1" applyBorder="1" applyAlignment="1">
      <alignment horizontal="left" vertical="center"/>
    </xf>
    <xf numFmtId="173" fontId="4" fillId="4" borderId="34" xfId="0" applyNumberFormat="1" applyFont="1" applyFill="1" applyBorder="1" applyAlignment="1">
      <alignment horizontal="left"/>
    </xf>
    <xf numFmtId="173" fontId="4" fillId="4" borderId="33" xfId="0" applyNumberFormat="1" applyFont="1" applyFill="1" applyBorder="1" applyAlignment="1">
      <alignment horizontal="left"/>
    </xf>
    <xf numFmtId="183" fontId="4" fillId="4" borderId="4" xfId="1" applyNumberFormat="1" applyFont="1" applyFill="1" applyBorder="1" applyAlignment="1">
      <alignment horizontal="center"/>
    </xf>
    <xf numFmtId="183" fontId="4" fillId="4" borderId="9" xfId="1" applyNumberFormat="1" applyFont="1" applyFill="1" applyBorder="1" applyAlignment="1">
      <alignment horizontal="center"/>
    </xf>
    <xf numFmtId="183" fontId="4" fillId="4" borderId="11" xfId="1" applyNumberFormat="1" applyFont="1" applyFill="1" applyBorder="1" applyAlignment="1">
      <alignment horizontal="center"/>
    </xf>
    <xf numFmtId="173" fontId="4" fillId="4" borderId="46" xfId="0" applyNumberFormat="1" applyFont="1" applyFill="1" applyBorder="1" applyAlignment="1">
      <alignment horizontal="center"/>
    </xf>
    <xf numFmtId="38" fontId="14" fillId="4" borderId="28" xfId="0" applyFont="1" applyFill="1" applyBorder="1" applyAlignment="1" applyProtection="1">
      <alignment horizontal="center" vertical="center"/>
    </xf>
    <xf numFmtId="38" fontId="9" fillId="4" borderId="19" xfId="0" applyFont="1" applyFill="1" applyBorder="1" applyAlignment="1">
      <alignment horizontal="center" vertical="center"/>
    </xf>
    <xf numFmtId="38" fontId="9" fillId="4" borderId="21" xfId="0" applyFont="1" applyFill="1" applyBorder="1" applyAlignment="1">
      <alignment horizontal="center" vertical="center"/>
    </xf>
    <xf numFmtId="38" fontId="9" fillId="4" borderId="20" xfId="0" applyFont="1" applyFill="1" applyBorder="1" applyAlignment="1">
      <alignment horizontal="center" vertical="center"/>
    </xf>
    <xf numFmtId="38" fontId="9" fillId="4" borderId="22" xfId="0" applyFont="1" applyFill="1" applyBorder="1" applyAlignment="1">
      <alignment horizontal="center" vertical="center"/>
    </xf>
    <xf numFmtId="173" fontId="4" fillId="4" borderId="3" xfId="0" applyNumberFormat="1" applyFont="1" applyFill="1" applyBorder="1" applyAlignment="1">
      <alignment horizontal="center"/>
    </xf>
    <xf numFmtId="173" fontId="4" fillId="4" borderId="9" xfId="0" applyNumberFormat="1" applyFont="1" applyFill="1" applyBorder="1" applyAlignment="1">
      <alignment horizontal="center"/>
    </xf>
    <xf numFmtId="173" fontId="4" fillId="4" borderId="11" xfId="0" applyNumberFormat="1" applyFont="1" applyFill="1" applyBorder="1" applyAlignment="1">
      <alignment horizontal="center"/>
    </xf>
    <xf numFmtId="183" fontId="9" fillId="4" borderId="24" xfId="1" applyNumberFormat="1" applyFont="1" applyFill="1" applyBorder="1" applyAlignment="1">
      <alignment horizontal="center" vertical="center"/>
    </xf>
    <xf numFmtId="183" fontId="9" fillId="4" borderId="25" xfId="1" applyNumberFormat="1" applyFont="1" applyFill="1" applyBorder="1" applyAlignment="1">
      <alignment horizontal="center" vertical="center"/>
    </xf>
    <xf numFmtId="183" fontId="9" fillId="4" borderId="26" xfId="1" applyNumberFormat="1" applyFont="1" applyFill="1" applyBorder="1" applyAlignment="1">
      <alignment horizontal="center" vertical="center"/>
    </xf>
    <xf numFmtId="173" fontId="9" fillId="4" borderId="24" xfId="0" applyNumberFormat="1" applyFont="1" applyFill="1" applyBorder="1" applyAlignment="1">
      <alignment horizontal="center" vertical="center"/>
    </xf>
    <xf numFmtId="173" fontId="9" fillId="4" borderId="25" xfId="0" applyNumberFormat="1" applyFont="1" applyFill="1" applyBorder="1" applyAlignment="1">
      <alignment horizontal="center" vertical="center"/>
    </xf>
    <xf numFmtId="173" fontId="9" fillId="4" borderId="26" xfId="0" applyNumberFormat="1" applyFont="1" applyFill="1" applyBorder="1" applyAlignment="1">
      <alignment horizontal="center" vertical="center"/>
    </xf>
    <xf numFmtId="173" fontId="4" fillId="4" borderId="16" xfId="0" applyNumberFormat="1" applyFont="1" applyFill="1" applyBorder="1" applyAlignment="1">
      <alignment horizontal="center" vertical="center"/>
    </xf>
    <xf numFmtId="173" fontId="4" fillId="4" borderId="18" xfId="0" applyNumberFormat="1" applyFont="1" applyFill="1" applyBorder="1" applyAlignment="1">
      <alignment horizontal="center" vertical="center"/>
    </xf>
    <xf numFmtId="173" fontId="4" fillId="4" borderId="17" xfId="0" applyNumberFormat="1" applyFont="1" applyFill="1" applyBorder="1" applyAlignment="1">
      <alignment horizontal="center" vertical="center"/>
    </xf>
    <xf numFmtId="183" fontId="4" fillId="4" borderId="39" xfId="1" applyNumberFormat="1" applyFont="1" applyFill="1" applyBorder="1" applyAlignment="1">
      <alignment horizontal="center" vertical="center"/>
    </xf>
    <xf numFmtId="183" fontId="4" fillId="4" borderId="48" xfId="1" applyNumberFormat="1" applyFont="1" applyFill="1" applyBorder="1" applyAlignment="1">
      <alignment horizontal="center" vertical="center"/>
    </xf>
    <xf numFmtId="38" fontId="4" fillId="4" borderId="16" xfId="0" applyFont="1" applyFill="1" applyBorder="1" applyAlignment="1">
      <alignment horizontal="center" vertical="center"/>
    </xf>
    <xf numFmtId="38" fontId="4" fillId="4" borderId="18" xfId="0" applyFont="1" applyFill="1" applyBorder="1" applyAlignment="1">
      <alignment horizontal="center" vertical="center"/>
    </xf>
    <xf numFmtId="38" fontId="4" fillId="4" borderId="17" xfId="0" applyFont="1" applyFill="1" applyBorder="1" applyAlignment="1">
      <alignment horizontal="center" vertical="center"/>
    </xf>
    <xf numFmtId="38" fontId="9" fillId="4" borderId="24" xfId="0" applyFont="1" applyFill="1" applyBorder="1" applyAlignment="1">
      <alignment horizontal="center" vertical="center"/>
    </xf>
    <xf numFmtId="38" fontId="9" fillId="4" borderId="25" xfId="0" applyFont="1" applyFill="1" applyBorder="1" applyAlignment="1">
      <alignment horizontal="center" vertical="center"/>
    </xf>
    <xf numFmtId="38" fontId="9" fillId="4" borderId="26" xfId="0" applyFont="1" applyFill="1" applyBorder="1" applyAlignment="1">
      <alignment horizontal="center" vertical="center"/>
    </xf>
    <xf numFmtId="174" fontId="4" fillId="4" borderId="38" xfId="0" applyNumberFormat="1" applyFont="1" applyFill="1" applyBorder="1" applyAlignment="1">
      <alignment horizontal="left"/>
    </xf>
    <xf numFmtId="174" fontId="4" fillId="4" borderId="39" xfId="0" applyNumberFormat="1" applyFont="1" applyFill="1" applyBorder="1" applyAlignment="1">
      <alignment horizontal="left"/>
    </xf>
    <xf numFmtId="174" fontId="4" fillId="4" borderId="48" xfId="0" applyNumberFormat="1" applyFont="1" applyFill="1" applyBorder="1" applyAlignment="1">
      <alignment horizontal="left"/>
    </xf>
    <xf numFmtId="181" fontId="9" fillId="4" borderId="42" xfId="0" applyNumberFormat="1" applyFont="1" applyFill="1" applyBorder="1" applyAlignment="1">
      <alignment horizontal="center" vertical="center"/>
    </xf>
    <xf numFmtId="181" fontId="9" fillId="4" borderId="50" xfId="0" applyNumberFormat="1" applyFont="1" applyFill="1" applyBorder="1" applyAlignment="1">
      <alignment horizontal="center" vertical="center"/>
    </xf>
    <xf numFmtId="174" fontId="14" fillId="4" borderId="60" xfId="0" applyNumberFormat="1" applyFont="1" applyFill="1" applyBorder="1" applyAlignment="1">
      <alignment horizontal="center" vertical="center"/>
    </xf>
    <xf numFmtId="174" fontId="14" fillId="4" borderId="61" xfId="0" applyNumberFormat="1" applyFont="1" applyFill="1" applyBorder="1" applyAlignment="1">
      <alignment horizontal="center" vertical="center"/>
    </xf>
    <xf numFmtId="174" fontId="14" fillId="4" borderId="69" xfId="0" applyNumberFormat="1" applyFont="1" applyFill="1" applyBorder="1" applyAlignment="1">
      <alignment horizontal="center" vertical="center"/>
    </xf>
    <xf numFmtId="174" fontId="4" fillId="4" borderId="12" xfId="0" applyNumberFormat="1" applyFont="1" applyFill="1" applyBorder="1" applyAlignment="1">
      <alignment horizontal="left"/>
    </xf>
    <xf numFmtId="174" fontId="4" fillId="4" borderId="29" xfId="0" applyNumberFormat="1" applyFont="1" applyFill="1" applyBorder="1" applyAlignment="1">
      <alignment horizontal="left"/>
    </xf>
    <xf numFmtId="174" fontId="4" fillId="4" borderId="28" xfId="0" applyNumberFormat="1" applyFont="1" applyFill="1" applyBorder="1" applyAlignment="1">
      <alignment horizontal="left"/>
    </xf>
    <xf numFmtId="174" fontId="9" fillId="4" borderId="39" xfId="0" applyNumberFormat="1" applyFont="1" applyFill="1" applyBorder="1" applyAlignment="1">
      <alignment horizontal="center" vertical="center"/>
    </xf>
    <xf numFmtId="174" fontId="9" fillId="4" borderId="48" xfId="0" applyNumberFormat="1" applyFont="1" applyFill="1" applyBorder="1" applyAlignment="1">
      <alignment horizontal="center" vertical="center"/>
    </xf>
    <xf numFmtId="174" fontId="14" fillId="4" borderId="24" xfId="0" applyNumberFormat="1" applyFont="1" applyFill="1" applyBorder="1" applyAlignment="1">
      <alignment horizontal="center" vertical="center"/>
    </xf>
    <xf numFmtId="174" fontId="14" fillId="4" borderId="25" xfId="0" applyNumberFormat="1" applyFont="1" applyFill="1" applyBorder="1" applyAlignment="1">
      <alignment horizontal="center" vertical="center"/>
    </xf>
    <xf numFmtId="174" fontId="14" fillId="4" borderId="26" xfId="0" applyNumberFormat="1" applyFont="1" applyFill="1" applyBorder="1" applyAlignment="1">
      <alignment horizontal="center" vertical="center"/>
    </xf>
    <xf numFmtId="38" fontId="22" fillId="4" borderId="12" xfId="0" applyFont="1" applyFill="1" applyBorder="1" applyAlignment="1" applyProtection="1">
      <alignment horizontal="center"/>
    </xf>
    <xf numFmtId="38" fontId="22" fillId="4" borderId="28" xfId="0" applyFont="1" applyFill="1" applyBorder="1" applyAlignment="1" applyProtection="1">
      <alignment horizontal="center"/>
    </xf>
    <xf numFmtId="38" fontId="21" fillId="4" borderId="12" xfId="0" applyFont="1" applyFill="1" applyBorder="1" applyAlignment="1" applyProtection="1">
      <alignment horizontal="center" vertical="center"/>
    </xf>
    <xf numFmtId="38" fontId="21" fillId="4" borderId="28" xfId="0" applyFont="1" applyFill="1" applyBorder="1" applyAlignment="1" applyProtection="1">
      <alignment horizontal="center" vertical="center"/>
    </xf>
    <xf numFmtId="38" fontId="21" fillId="4" borderId="12" xfId="0" applyNumberFormat="1" applyFont="1" applyFill="1" applyBorder="1" applyAlignment="1">
      <alignment horizontal="center" vertical="center"/>
    </xf>
    <xf numFmtId="38" fontId="21" fillId="4" borderId="28" xfId="0" applyNumberFormat="1" applyFont="1" applyFill="1" applyBorder="1" applyAlignment="1">
      <alignment horizontal="center" vertical="center"/>
    </xf>
    <xf numFmtId="38" fontId="22" fillId="4" borderId="3" xfId="0" applyFont="1" applyFill="1" applyBorder="1" applyAlignment="1">
      <alignment horizontal="center" vertical="center" wrapText="1"/>
    </xf>
    <xf numFmtId="38" fontId="22" fillId="4" borderId="11" xfId="0" applyFont="1" applyFill="1" applyBorder="1" applyAlignment="1">
      <alignment horizontal="center" vertical="center" wrapText="1"/>
    </xf>
    <xf numFmtId="38" fontId="22" fillId="4" borderId="3" xfId="0" applyFont="1" applyFill="1" applyBorder="1" applyAlignment="1" applyProtection="1">
      <alignment horizontal="center"/>
    </xf>
    <xf numFmtId="38" fontId="22" fillId="4" borderId="11" xfId="0" applyFont="1" applyFill="1" applyBorder="1" applyAlignment="1" applyProtection="1">
      <alignment horizontal="center"/>
    </xf>
    <xf numFmtId="38" fontId="11" fillId="4" borderId="60" xfId="0" applyFont="1" applyFill="1" applyBorder="1" applyAlignment="1">
      <alignment horizontal="center" vertical="center" wrapText="1"/>
    </xf>
    <xf numFmtId="38" fontId="11" fillId="4" borderId="61" xfId="0" applyFont="1" applyFill="1" applyBorder="1" applyAlignment="1">
      <alignment horizontal="center" vertical="center" wrapText="1"/>
    </xf>
    <xf numFmtId="38" fontId="11" fillId="4" borderId="69" xfId="0" applyFont="1" applyFill="1" applyBorder="1" applyAlignment="1">
      <alignment horizontal="center" vertical="center" wrapText="1"/>
    </xf>
    <xf numFmtId="174" fontId="14" fillId="4" borderId="37" xfId="0" applyNumberFormat="1" applyFont="1" applyFill="1" applyBorder="1" applyAlignment="1">
      <alignment horizontal="center" vertical="center"/>
    </xf>
    <xf numFmtId="174" fontId="14" fillId="4" borderId="36" xfId="0" applyNumberFormat="1" applyFont="1" applyFill="1" applyBorder="1" applyAlignment="1">
      <alignment horizontal="center" vertical="center"/>
    </xf>
    <xf numFmtId="174" fontId="14" fillId="4" borderId="32" xfId="0" applyNumberFormat="1" applyFont="1" applyFill="1" applyBorder="1" applyAlignment="1">
      <alignment horizontal="center" vertical="center"/>
    </xf>
    <xf numFmtId="38" fontId="14" fillId="4" borderId="30" xfId="0" applyFont="1" applyFill="1" applyBorder="1" applyAlignment="1">
      <alignment horizontal="center"/>
    </xf>
    <xf numFmtId="38" fontId="14" fillId="4" borderId="10" xfId="0" applyFont="1" applyFill="1" applyBorder="1" applyAlignment="1">
      <alignment horizontal="center"/>
    </xf>
    <xf numFmtId="178" fontId="14" fillId="4" borderId="30" xfId="0" applyNumberFormat="1" applyFont="1" applyFill="1" applyBorder="1" applyAlignment="1">
      <alignment horizontal="center" vertical="center"/>
    </xf>
    <xf numFmtId="178" fontId="14" fillId="4" borderId="10" xfId="0" applyNumberFormat="1" applyFont="1" applyFill="1" applyBorder="1" applyAlignment="1">
      <alignment horizontal="center" vertical="center"/>
    </xf>
    <xf numFmtId="38" fontId="14" fillId="4" borderId="10" xfId="0" applyFont="1" applyFill="1" applyBorder="1" applyAlignment="1">
      <alignment horizontal="center" vertical="center"/>
    </xf>
    <xf numFmtId="38" fontId="14" fillId="4" borderId="4" xfId="0" applyFont="1" applyFill="1" applyBorder="1" applyAlignment="1">
      <alignment horizontal="center" vertical="center"/>
    </xf>
    <xf numFmtId="181" fontId="14" fillId="4" borderId="10" xfId="0" applyNumberFormat="1" applyFont="1" applyFill="1" applyBorder="1" applyAlignment="1">
      <alignment horizontal="center" vertical="center"/>
    </xf>
    <xf numFmtId="181" fontId="14" fillId="4" borderId="4" xfId="0" applyNumberFormat="1" applyFont="1" applyFill="1" applyBorder="1" applyAlignment="1">
      <alignment horizontal="center" vertical="center"/>
    </xf>
    <xf numFmtId="38" fontId="30" fillId="4" borderId="38" xfId="0" applyFont="1" applyFill="1" applyBorder="1" applyAlignment="1" applyProtection="1">
      <alignment horizontal="center" vertical="center"/>
    </xf>
    <xf numFmtId="38" fontId="30" fillId="4" borderId="39" xfId="0" applyFont="1" applyFill="1" applyBorder="1" applyAlignment="1" applyProtection="1">
      <alignment horizontal="center" vertical="center"/>
    </xf>
    <xf numFmtId="38" fontId="30" fillId="4" borderId="48" xfId="0" applyFont="1" applyFill="1" applyBorder="1" applyAlignment="1" applyProtection="1">
      <alignment horizontal="center" vertical="center"/>
    </xf>
    <xf numFmtId="174" fontId="30" fillId="4" borderId="38" xfId="0" applyNumberFormat="1" applyFont="1" applyFill="1" applyBorder="1" applyAlignment="1">
      <alignment horizontal="center" vertical="center"/>
    </xf>
    <xf numFmtId="174" fontId="30" fillId="4" borderId="39" xfId="0" applyNumberFormat="1" applyFont="1" applyFill="1" applyBorder="1" applyAlignment="1">
      <alignment horizontal="center" vertical="center"/>
    </xf>
    <xf numFmtId="174" fontId="30" fillId="4" borderId="48" xfId="0" applyNumberFormat="1" applyFont="1" applyFill="1" applyBorder="1" applyAlignment="1">
      <alignment horizontal="center" vertical="center"/>
    </xf>
    <xf numFmtId="174" fontId="30" fillId="4" borderId="24" xfId="0" applyNumberFormat="1" applyFont="1" applyFill="1" applyBorder="1" applyAlignment="1">
      <alignment horizontal="center" vertical="center"/>
    </xf>
    <xf numFmtId="174" fontId="30" fillId="4" borderId="25" xfId="0" applyNumberFormat="1" applyFont="1" applyFill="1" applyBorder="1" applyAlignment="1">
      <alignment horizontal="center" vertical="center"/>
    </xf>
    <xf numFmtId="174" fontId="30" fillId="4" borderId="26" xfId="0" applyNumberFormat="1" applyFont="1" applyFill="1" applyBorder="1" applyAlignment="1">
      <alignment horizontal="center" vertical="center"/>
    </xf>
    <xf numFmtId="174" fontId="24" fillId="4" borderId="40" xfId="0" applyNumberFormat="1" applyFont="1" applyFill="1" applyBorder="1" applyAlignment="1">
      <alignment horizontal="center"/>
    </xf>
    <xf numFmtId="174" fontId="24" fillId="4" borderId="29" xfId="0" applyNumberFormat="1" applyFont="1" applyFill="1" applyBorder="1" applyAlignment="1">
      <alignment horizontal="center"/>
    </xf>
    <xf numFmtId="174" fontId="24" fillId="4" borderId="28" xfId="0" applyNumberFormat="1" applyFont="1" applyFill="1" applyBorder="1" applyAlignment="1">
      <alignment horizontal="center"/>
    </xf>
    <xf numFmtId="38" fontId="24" fillId="4" borderId="8" xfId="0" applyFont="1" applyFill="1" applyBorder="1" applyAlignment="1">
      <alignment horizontal="left"/>
    </xf>
    <xf numFmtId="38" fontId="24" fillId="4" borderId="13" xfId="0" applyFont="1" applyFill="1" applyBorder="1" applyAlignment="1">
      <alignment horizontal="left"/>
    </xf>
    <xf numFmtId="174" fontId="24" fillId="4" borderId="24" xfId="0" applyNumberFormat="1" applyFont="1" applyFill="1" applyBorder="1" applyAlignment="1">
      <alignment horizontal="left"/>
    </xf>
    <xf numFmtId="174" fontId="24" fillId="4" borderId="35" xfId="0" applyNumberFormat="1" applyFont="1" applyFill="1" applyBorder="1" applyAlignment="1">
      <alignment horizontal="left"/>
    </xf>
    <xf numFmtId="174" fontId="24" fillId="4" borderId="60" xfId="0" applyNumberFormat="1" applyFont="1" applyFill="1" applyBorder="1" applyAlignment="1">
      <alignment horizontal="center"/>
    </xf>
    <xf numFmtId="174" fontId="24" fillId="4" borderId="61" xfId="0" applyNumberFormat="1" applyFont="1" applyFill="1" applyBorder="1" applyAlignment="1">
      <alignment horizontal="center"/>
    </xf>
    <xf numFmtId="174" fontId="24" fillId="4" borderId="69" xfId="0" applyNumberFormat="1" applyFont="1" applyFill="1" applyBorder="1" applyAlignment="1">
      <alignment horizontal="center"/>
    </xf>
    <xf numFmtId="38" fontId="30" fillId="4" borderId="29" xfId="0" applyFont="1" applyFill="1" applyBorder="1" applyAlignment="1" applyProtection="1">
      <alignment horizontal="center" vertical="center" wrapText="1"/>
    </xf>
    <xf numFmtId="38" fontId="30" fillId="4" borderId="28" xfId="0" applyFont="1" applyFill="1" applyBorder="1" applyAlignment="1" applyProtection="1">
      <alignment horizontal="center" vertical="center" wrapText="1"/>
    </xf>
    <xf numFmtId="38" fontId="30" fillId="4" borderId="31" xfId="0" applyFont="1" applyFill="1" applyBorder="1" applyAlignment="1" applyProtection="1">
      <alignment horizontal="center" vertical="center" wrapText="1"/>
    </xf>
    <xf numFmtId="38" fontId="30" fillId="4" borderId="13" xfId="0" applyFont="1" applyFill="1" applyBorder="1" applyAlignment="1" applyProtection="1">
      <alignment horizontal="center" vertical="center" wrapText="1"/>
    </xf>
    <xf numFmtId="38" fontId="30" fillId="4" borderId="27" xfId="0" applyFont="1" applyFill="1" applyBorder="1" applyAlignment="1" applyProtection="1">
      <alignment horizontal="center" vertical="center" wrapText="1"/>
    </xf>
    <xf numFmtId="38" fontId="30" fillId="4" borderId="29" xfId="0" applyFont="1" applyFill="1" applyBorder="1" applyAlignment="1">
      <alignment horizontal="center" vertical="center"/>
    </xf>
    <xf numFmtId="38" fontId="30" fillId="4" borderId="28" xfId="0" applyFont="1" applyFill="1" applyBorder="1" applyAlignment="1">
      <alignment horizontal="center" vertical="center"/>
    </xf>
    <xf numFmtId="178" fontId="30" fillId="4" borderId="16" xfId="0" applyNumberFormat="1" applyFont="1" applyFill="1" applyBorder="1" applyAlignment="1" applyProtection="1">
      <alignment horizontal="center"/>
    </xf>
    <xf numFmtId="178" fontId="30" fillId="4" borderId="18" xfId="0" applyNumberFormat="1" applyFont="1" applyFill="1" applyBorder="1" applyAlignment="1" applyProtection="1">
      <alignment horizontal="center"/>
    </xf>
    <xf numFmtId="181" fontId="30" fillId="4" borderId="24" xfId="0" applyNumberFormat="1" applyFont="1" applyFill="1" applyBorder="1" applyAlignment="1" applyProtection="1">
      <alignment horizontal="center"/>
    </xf>
    <xf numFmtId="181" fontId="30" fillId="4" borderId="25" xfId="0" applyNumberFormat="1" applyFont="1" applyFill="1" applyBorder="1" applyAlignment="1" applyProtection="1">
      <alignment horizontal="center"/>
    </xf>
    <xf numFmtId="181" fontId="30" fillId="4" borderId="26" xfId="0" applyNumberFormat="1" applyFont="1" applyFill="1" applyBorder="1" applyAlignment="1" applyProtection="1">
      <alignment horizontal="center"/>
    </xf>
    <xf numFmtId="38" fontId="30" fillId="4" borderId="12" xfId="0" applyFont="1" applyFill="1" applyBorder="1" applyAlignment="1" applyProtection="1">
      <alignment horizontal="center" vertical="center" wrapText="1"/>
    </xf>
    <xf numFmtId="38" fontId="30" fillId="4" borderId="8" xfId="0" applyFont="1" applyFill="1" applyBorder="1" applyAlignment="1" applyProtection="1">
      <alignment horizontal="center" vertical="center" wrapText="1"/>
    </xf>
    <xf numFmtId="173" fontId="9" fillId="4" borderId="28" xfId="0" applyNumberFormat="1" applyFont="1" applyFill="1" applyBorder="1" applyAlignment="1" applyProtection="1">
      <alignment horizontal="center" vertical="center" wrapText="1"/>
      <protection hidden="1"/>
    </xf>
    <xf numFmtId="173" fontId="9" fillId="4" borderId="55" xfId="0" applyNumberFormat="1" applyFont="1" applyFill="1" applyBorder="1" applyAlignment="1" applyProtection="1">
      <alignment horizontal="center" vertical="center" wrapText="1"/>
      <protection hidden="1"/>
    </xf>
    <xf numFmtId="1" fontId="9" fillId="4" borderId="40" xfId="0" applyNumberFormat="1" applyFont="1" applyFill="1" applyBorder="1" applyAlignment="1" applyProtection="1">
      <alignment horizontal="center" vertical="center"/>
      <protection hidden="1"/>
    </xf>
    <xf numFmtId="1" fontId="9" fillId="4" borderId="29" xfId="0" applyNumberFormat="1" applyFont="1" applyFill="1" applyBorder="1" applyAlignment="1" applyProtection="1">
      <alignment horizontal="center" vertical="center"/>
      <protection hidden="1"/>
    </xf>
    <xf numFmtId="38" fontId="9" fillId="4" borderId="12" xfId="0" applyFont="1" applyFill="1" applyBorder="1" applyAlignment="1" applyProtection="1">
      <alignment horizontal="center" vertical="center" wrapText="1"/>
      <protection hidden="1"/>
    </xf>
    <xf numFmtId="38" fontId="9" fillId="4" borderId="3" xfId="0" applyFont="1" applyFill="1" applyBorder="1" applyAlignment="1" applyProtection="1">
      <alignment horizontal="center" vertical="center" wrapText="1"/>
      <protection hidden="1"/>
    </xf>
    <xf numFmtId="38" fontId="9" fillId="4" borderId="53" xfId="0" applyFont="1" applyFill="1" applyBorder="1" applyAlignment="1" applyProtection="1">
      <alignment horizontal="center" vertical="center" wrapText="1"/>
      <protection hidden="1"/>
    </xf>
    <xf numFmtId="38" fontId="9" fillId="4" borderId="28" xfId="0" applyFont="1" applyFill="1" applyBorder="1" applyAlignment="1" applyProtection="1">
      <alignment horizontal="center" vertical="center" wrapText="1"/>
      <protection hidden="1"/>
    </xf>
    <xf numFmtId="38" fontId="9" fillId="4" borderId="30" xfId="0" applyFont="1" applyFill="1" applyBorder="1" applyAlignment="1" applyProtection="1">
      <alignment horizontal="center" vertical="center" wrapText="1"/>
      <protection hidden="1"/>
    </xf>
    <xf numFmtId="38" fontId="9" fillId="4" borderId="76" xfId="0" applyFont="1" applyFill="1" applyBorder="1" applyAlignment="1" applyProtection="1">
      <alignment horizontal="center" vertical="center" wrapText="1"/>
      <protection hidden="1"/>
    </xf>
    <xf numFmtId="173" fontId="14" fillId="4" borderId="60" xfId="0" applyNumberFormat="1" applyFont="1" applyFill="1" applyBorder="1" applyAlignment="1" applyProtection="1">
      <alignment horizontal="center" vertical="center"/>
      <protection hidden="1"/>
    </xf>
    <xf numFmtId="173" fontId="14" fillId="4" borderId="61" xfId="0" applyNumberFormat="1" applyFont="1" applyFill="1" applyBorder="1" applyAlignment="1" applyProtection="1">
      <alignment horizontal="center" vertical="center"/>
      <protection hidden="1"/>
    </xf>
    <xf numFmtId="173" fontId="14" fillId="4" borderId="69" xfId="0" applyNumberFormat="1" applyFont="1" applyFill="1" applyBorder="1" applyAlignment="1" applyProtection="1">
      <alignment horizontal="center" vertical="center"/>
      <protection hidden="1"/>
    </xf>
    <xf numFmtId="1" fontId="9" fillId="4" borderId="12" xfId="0" applyNumberFormat="1" applyFont="1" applyFill="1" applyBorder="1" applyAlignment="1" applyProtection="1">
      <alignment horizontal="center" vertical="center"/>
      <protection hidden="1"/>
    </xf>
    <xf numFmtId="38" fontId="9" fillId="4" borderId="61" xfId="0" applyFont="1" applyFill="1" applyBorder="1" applyAlignment="1" applyProtection="1">
      <alignment horizontal="center" vertical="center" wrapText="1"/>
      <protection hidden="1"/>
    </xf>
    <xf numFmtId="38" fontId="9" fillId="4" borderId="59" xfId="0" applyFont="1" applyFill="1" applyBorder="1" applyAlignment="1" applyProtection="1">
      <alignment horizontal="center" vertical="center" wrapText="1"/>
      <protection hidden="1"/>
    </xf>
    <xf numFmtId="38" fontId="9" fillId="4" borderId="36" xfId="0" applyFont="1" applyFill="1" applyBorder="1" applyAlignment="1" applyProtection="1">
      <alignment horizontal="center" vertical="center" wrapText="1"/>
      <protection hidden="1"/>
    </xf>
    <xf numFmtId="38" fontId="35" fillId="4" borderId="60" xfId="0" applyFont="1" applyFill="1" applyBorder="1" applyAlignment="1" applyProtection="1">
      <alignment horizontal="center" vertical="center"/>
      <protection hidden="1"/>
    </xf>
    <xf numFmtId="38" fontId="35" fillId="4" borderId="61" xfId="0" applyFont="1" applyFill="1" applyBorder="1" applyAlignment="1" applyProtection="1">
      <alignment horizontal="center" vertical="center"/>
      <protection hidden="1"/>
    </xf>
    <xf numFmtId="38" fontId="35" fillId="4" borderId="69" xfId="0" applyFont="1" applyFill="1" applyBorder="1" applyAlignment="1" applyProtection="1">
      <alignment horizontal="center" vertical="center"/>
      <protection hidden="1"/>
    </xf>
    <xf numFmtId="38" fontId="35" fillId="4" borderId="12" xfId="0" applyFont="1" applyFill="1" applyBorder="1" applyAlignment="1" applyProtection="1">
      <alignment horizontal="center" vertical="center" wrapText="1"/>
      <protection hidden="1"/>
    </xf>
    <xf numFmtId="38" fontId="35" fillId="4" borderId="3" xfId="0" applyFont="1" applyFill="1" applyBorder="1" applyAlignment="1" applyProtection="1">
      <alignment horizontal="center" vertical="center" wrapText="1"/>
      <protection hidden="1"/>
    </xf>
    <xf numFmtId="38" fontId="35" fillId="4" borderId="53" xfId="0" applyFont="1" applyFill="1" applyBorder="1" applyAlignment="1" applyProtection="1">
      <alignment horizontal="center" vertical="center" wrapText="1"/>
      <protection hidden="1"/>
    </xf>
    <xf numFmtId="38" fontId="35" fillId="4" borderId="28" xfId="0" applyFont="1" applyFill="1" applyBorder="1" applyAlignment="1" applyProtection="1">
      <alignment horizontal="center" vertical="center" wrapText="1"/>
      <protection hidden="1"/>
    </xf>
    <xf numFmtId="38" fontId="35" fillId="4" borderId="11" xfId="0" applyFont="1" applyFill="1" applyBorder="1" applyAlignment="1" applyProtection="1">
      <alignment horizontal="center" vertical="center" wrapText="1"/>
      <protection hidden="1"/>
    </xf>
    <xf numFmtId="38" fontId="35" fillId="4" borderId="55" xfId="0" applyFont="1" applyFill="1" applyBorder="1" applyAlignment="1" applyProtection="1">
      <alignment horizontal="center" vertical="center" wrapText="1"/>
      <protection hidden="1"/>
    </xf>
    <xf numFmtId="173" fontId="14" fillId="4" borderId="5" xfId="0" applyNumberFormat="1" applyFont="1" applyFill="1" applyBorder="1" applyAlignment="1" applyProtection="1">
      <alignment horizontal="center" vertical="center"/>
      <protection hidden="1"/>
    </xf>
    <xf numFmtId="173" fontId="14" fillId="4" borderId="6" xfId="0" applyNumberFormat="1" applyFont="1" applyFill="1" applyBorder="1" applyAlignment="1" applyProtection="1">
      <alignment horizontal="center" vertical="center"/>
      <protection hidden="1"/>
    </xf>
    <xf numFmtId="173" fontId="14" fillId="4" borderId="7" xfId="0" applyNumberFormat="1" applyFont="1" applyFill="1" applyBorder="1" applyAlignment="1" applyProtection="1">
      <alignment horizontal="center" vertical="center"/>
      <protection hidden="1"/>
    </xf>
    <xf numFmtId="38" fontId="14" fillId="4" borderId="25" xfId="0" applyFont="1" applyFill="1" applyBorder="1" applyAlignment="1" applyProtection="1">
      <alignment horizontal="center" vertical="center"/>
      <protection hidden="1"/>
    </xf>
    <xf numFmtId="38" fontId="14" fillId="4" borderId="26" xfId="0" applyFont="1" applyFill="1" applyBorder="1" applyAlignment="1" applyProtection="1">
      <alignment horizontal="center" vertical="center"/>
      <protection hidden="1"/>
    </xf>
    <xf numFmtId="170" fontId="35" fillId="4" borderId="12" xfId="0" applyNumberFormat="1" applyFont="1" applyFill="1" applyBorder="1" applyAlignment="1" applyProtection="1">
      <alignment horizontal="center" vertical="center"/>
      <protection hidden="1"/>
    </xf>
    <xf numFmtId="170" fontId="35" fillId="4" borderId="29" xfId="0" applyNumberFormat="1" applyFont="1" applyFill="1" applyBorder="1" applyAlignment="1" applyProtection="1">
      <alignment horizontal="center" vertical="center"/>
      <protection hidden="1"/>
    </xf>
    <xf numFmtId="2" fontId="35" fillId="4" borderId="28" xfId="0" applyNumberFormat="1" applyFont="1" applyFill="1" applyBorder="1" applyAlignment="1" applyProtection="1">
      <alignment horizontal="center" vertical="center" wrapText="1"/>
      <protection hidden="1"/>
    </xf>
    <xf numFmtId="2" fontId="35" fillId="4" borderId="55" xfId="0" applyNumberFormat="1" applyFont="1" applyFill="1" applyBorder="1" applyAlignment="1" applyProtection="1">
      <alignment horizontal="center" vertical="center" wrapText="1"/>
      <protection hidden="1"/>
    </xf>
    <xf numFmtId="38" fontId="35" fillId="3" borderId="60" xfId="0" applyFont="1" applyFill="1" applyBorder="1" applyAlignment="1" applyProtection="1">
      <alignment horizontal="center" vertical="center"/>
      <protection hidden="1"/>
    </xf>
    <xf numFmtId="38" fontId="35" fillId="3" borderId="61" xfId="0" applyFont="1" applyFill="1" applyBorder="1" applyAlignment="1" applyProtection="1">
      <alignment horizontal="center" vertical="center"/>
      <protection hidden="1"/>
    </xf>
    <xf numFmtId="38" fontId="35" fillId="3" borderId="69" xfId="0" applyFont="1" applyFill="1" applyBorder="1" applyAlignment="1" applyProtection="1">
      <alignment horizontal="center" vertical="center"/>
      <protection hidden="1"/>
    </xf>
    <xf numFmtId="38" fontId="35" fillId="4" borderId="61" xfId="0" applyFont="1" applyFill="1" applyBorder="1" applyAlignment="1" applyProtection="1">
      <alignment horizontal="center" vertical="center" wrapText="1"/>
      <protection hidden="1"/>
    </xf>
    <xf numFmtId="38" fontId="35" fillId="4" borderId="59" xfId="0" applyFont="1" applyFill="1" applyBorder="1" applyAlignment="1" applyProtection="1">
      <alignment horizontal="center" vertical="center" wrapText="1"/>
      <protection hidden="1"/>
    </xf>
    <xf numFmtId="38" fontId="35" fillId="4" borderId="36" xfId="0" applyFont="1" applyFill="1" applyBorder="1" applyAlignment="1" applyProtection="1">
      <alignment horizontal="center" vertical="center" wrapText="1"/>
      <protection hidden="1"/>
    </xf>
    <xf numFmtId="38" fontId="14" fillId="4" borderId="61" xfId="0" applyFont="1" applyFill="1" applyBorder="1" applyAlignment="1" applyProtection="1">
      <alignment horizontal="center" vertical="center" wrapText="1"/>
      <protection hidden="1"/>
    </xf>
    <xf numFmtId="38" fontId="14" fillId="4" borderId="69" xfId="0" applyFont="1" applyFill="1" applyBorder="1" applyAlignment="1" applyProtection="1">
      <alignment horizontal="center" vertical="center" wrapText="1"/>
      <protection hidden="1"/>
    </xf>
    <xf numFmtId="181" fontId="14" fillId="4" borderId="8" xfId="0" applyNumberFormat="1" applyFont="1" applyFill="1" applyBorder="1" applyAlignment="1" applyProtection="1">
      <alignment horizontal="center" vertical="center"/>
      <protection hidden="1"/>
    </xf>
    <xf numFmtId="181" fontId="14" fillId="4" borderId="42" xfId="0" applyNumberFormat="1" applyFont="1" applyFill="1" applyBorder="1" applyAlignment="1" applyProtection="1">
      <alignment horizontal="center" vertical="center"/>
      <protection hidden="1"/>
    </xf>
    <xf numFmtId="181" fontId="14" fillId="4" borderId="27" xfId="0" applyNumberFormat="1" applyFont="1" applyFill="1" applyBorder="1" applyAlignment="1" applyProtection="1">
      <alignment horizontal="center" vertical="center"/>
      <protection hidden="1"/>
    </xf>
    <xf numFmtId="38" fontId="14" fillId="4" borderId="5" xfId="0" applyFont="1" applyFill="1" applyBorder="1" applyAlignment="1" applyProtection="1">
      <alignment horizontal="center" vertical="center"/>
      <protection hidden="1"/>
    </xf>
    <xf numFmtId="38" fontId="14" fillId="4" borderId="6" xfId="0" applyFont="1" applyFill="1" applyBorder="1" applyAlignment="1" applyProtection="1">
      <alignment horizontal="center" vertical="center"/>
      <protection hidden="1"/>
    </xf>
    <xf numFmtId="38" fontId="14" fillId="4" borderId="7" xfId="0" applyFont="1" applyFill="1" applyBorder="1" applyAlignment="1" applyProtection="1">
      <alignment horizontal="center" vertical="center"/>
      <protection hidden="1"/>
    </xf>
    <xf numFmtId="38" fontId="14" fillId="4" borderId="8" xfId="0" applyFont="1" applyFill="1" applyBorder="1" applyAlignment="1" applyProtection="1">
      <alignment horizontal="center" vertical="center"/>
      <protection hidden="1"/>
    </xf>
    <xf numFmtId="38" fontId="14" fillId="4" borderId="13" xfId="0" applyFont="1" applyFill="1" applyBorder="1" applyAlignment="1" applyProtection="1">
      <alignment horizontal="center" vertical="center"/>
      <protection hidden="1"/>
    </xf>
    <xf numFmtId="38" fontId="14" fillId="4" borderId="27" xfId="0" applyFont="1" applyFill="1" applyBorder="1" applyAlignment="1" applyProtection="1">
      <alignment horizontal="center" vertical="center"/>
      <protection hidden="1"/>
    </xf>
    <xf numFmtId="38" fontId="14" fillId="4" borderId="5" xfId="0" applyFont="1" applyFill="1" applyBorder="1" applyAlignment="1" applyProtection="1">
      <alignment horizontal="center" vertical="center" wrapText="1"/>
      <protection hidden="1"/>
    </xf>
    <xf numFmtId="38" fontId="14" fillId="4" borderId="6" xfId="0" applyFont="1" applyFill="1" applyBorder="1" applyAlignment="1" applyProtection="1">
      <alignment horizontal="center" vertical="center" wrapText="1"/>
      <protection hidden="1"/>
    </xf>
    <xf numFmtId="38" fontId="14" fillId="4" borderId="7" xfId="0" applyFont="1" applyFill="1" applyBorder="1" applyAlignment="1" applyProtection="1">
      <alignment horizontal="center" vertical="center" wrapText="1"/>
      <protection hidden="1"/>
    </xf>
    <xf numFmtId="38" fontId="14" fillId="4" borderId="12" xfId="0" applyFont="1" applyFill="1" applyBorder="1" applyAlignment="1" applyProtection="1">
      <alignment horizontal="center" vertical="center"/>
      <protection hidden="1"/>
    </xf>
    <xf numFmtId="38" fontId="14" fillId="4" borderId="29" xfId="0" applyFont="1" applyFill="1" applyBorder="1" applyAlignment="1" applyProtection="1">
      <alignment horizontal="center" vertical="center"/>
      <protection hidden="1"/>
    </xf>
    <xf numFmtId="38" fontId="14" fillId="4" borderId="28" xfId="0" applyFont="1" applyFill="1" applyBorder="1" applyAlignment="1" applyProtection="1">
      <alignment horizontal="center" vertical="center"/>
      <protection hidden="1"/>
    </xf>
    <xf numFmtId="38" fontId="14" fillId="4" borderId="60" xfId="0" applyFont="1" applyFill="1" applyBorder="1" applyAlignment="1" applyProtection="1">
      <alignment horizontal="center" vertical="center" wrapText="1"/>
      <protection hidden="1"/>
    </xf>
    <xf numFmtId="178" fontId="14" fillId="4" borderId="12" xfId="0" applyNumberFormat="1" applyFont="1" applyFill="1" applyBorder="1" applyAlignment="1" applyProtection="1">
      <alignment horizontal="center" vertical="center"/>
      <protection hidden="1"/>
    </xf>
    <xf numFmtId="178" fontId="14" fillId="4" borderId="39" xfId="0" applyNumberFormat="1" applyFont="1" applyFill="1" applyBorder="1" applyAlignment="1" applyProtection="1">
      <alignment horizontal="center" vertical="center"/>
      <protection hidden="1"/>
    </xf>
    <xf numFmtId="178" fontId="14" fillId="4" borderId="28" xfId="0" applyNumberFormat="1" applyFont="1" applyFill="1" applyBorder="1" applyAlignment="1" applyProtection="1">
      <alignment horizontal="center" vertical="center"/>
      <protection hidden="1"/>
    </xf>
    <xf numFmtId="38" fontId="14" fillId="4" borderId="60" xfId="0" applyFont="1" applyFill="1" applyBorder="1" applyAlignment="1" applyProtection="1">
      <alignment horizontal="center" vertical="center"/>
      <protection hidden="1"/>
    </xf>
    <xf numFmtId="38" fontId="14" fillId="4" borderId="61" xfId="0" applyFont="1" applyFill="1" applyBorder="1" applyAlignment="1" applyProtection="1">
      <alignment horizontal="center" vertical="center"/>
      <protection hidden="1"/>
    </xf>
    <xf numFmtId="38" fontId="34" fillId="4" borderId="61" xfId="0" applyFont="1" applyFill="1" applyBorder="1" applyAlignment="1" applyProtection="1">
      <alignment horizontal="center" vertical="center"/>
      <protection hidden="1"/>
    </xf>
    <xf numFmtId="38" fontId="34" fillId="4" borderId="69" xfId="0" applyFont="1" applyFill="1" applyBorder="1" applyAlignment="1" applyProtection="1">
      <alignment horizontal="center" vertical="center"/>
      <protection hidden="1"/>
    </xf>
    <xf numFmtId="181" fontId="14" fillId="4" borderId="21" xfId="0" applyNumberFormat="1" applyFont="1" applyFill="1" applyBorder="1" applyAlignment="1" applyProtection="1">
      <alignment horizontal="center" vertical="center"/>
    </xf>
    <xf numFmtId="181" fontId="14" fillId="4" borderId="23" xfId="0" applyNumberFormat="1" applyFont="1" applyFill="1" applyBorder="1" applyAlignment="1" applyProtection="1">
      <alignment horizontal="center" vertical="center"/>
    </xf>
    <xf numFmtId="181" fontId="14" fillId="4" borderId="22" xfId="0" applyNumberFormat="1" applyFont="1" applyFill="1" applyBorder="1" applyAlignment="1" applyProtection="1">
      <alignment horizontal="center" vertical="center"/>
    </xf>
    <xf numFmtId="174" fontId="9" fillId="4" borderId="29" xfId="0" applyNumberFormat="1" applyFont="1" applyFill="1" applyBorder="1" applyAlignment="1">
      <alignment horizontal="center" vertical="center" wrapText="1"/>
    </xf>
    <xf numFmtId="174" fontId="9" fillId="4" borderId="9" xfId="0" applyNumberFormat="1" applyFont="1" applyFill="1" applyBorder="1" applyAlignment="1">
      <alignment horizontal="center" vertical="center" wrapText="1"/>
    </xf>
    <xf numFmtId="174" fontId="9" fillId="4" borderId="56" xfId="0" applyNumberFormat="1" applyFont="1" applyFill="1" applyBorder="1" applyAlignment="1">
      <alignment horizontal="center" vertical="center" wrapText="1"/>
    </xf>
    <xf numFmtId="2" fontId="9" fillId="4" borderId="55" xfId="0" applyNumberFormat="1" applyFont="1" applyFill="1" applyBorder="1" applyAlignment="1" applyProtection="1">
      <alignment horizontal="center" vertical="center" wrapText="1"/>
    </xf>
    <xf numFmtId="173" fontId="9" fillId="4" borderId="12" xfId="0" applyNumberFormat="1" applyFont="1" applyFill="1" applyBorder="1" applyAlignment="1" applyProtection="1">
      <alignment horizontal="center" vertical="center"/>
    </xf>
    <xf numFmtId="173" fontId="9" fillId="4" borderId="29" xfId="0" applyNumberFormat="1" applyFont="1" applyFill="1" applyBorder="1" applyAlignment="1" applyProtection="1">
      <alignment horizontal="center" vertical="center"/>
    </xf>
    <xf numFmtId="173" fontId="9" fillId="4" borderId="48" xfId="0" applyNumberFormat="1" applyFont="1" applyFill="1" applyBorder="1" applyAlignment="1" applyProtection="1">
      <alignment horizontal="center" vertical="center" wrapText="1"/>
    </xf>
    <xf numFmtId="173" fontId="9" fillId="4" borderId="68" xfId="0" applyNumberFormat="1" applyFont="1" applyFill="1" applyBorder="1" applyAlignment="1" applyProtection="1">
      <alignment horizontal="center" vertical="center" wrapText="1"/>
    </xf>
    <xf numFmtId="174" fontId="9" fillId="4" borderId="63" xfId="0" applyNumberFormat="1" applyFont="1" applyFill="1" applyBorder="1" applyAlignment="1">
      <alignment horizontal="center" vertical="center" wrapText="1"/>
    </xf>
    <xf numFmtId="174" fontId="9" fillId="4" borderId="20" xfId="0" applyNumberFormat="1" applyFont="1" applyFill="1" applyBorder="1" applyAlignment="1">
      <alignment horizontal="center" vertical="center" wrapText="1"/>
    </xf>
    <xf numFmtId="174" fontId="9" fillId="4" borderId="24" xfId="0" applyNumberFormat="1" applyFont="1" applyFill="1" applyBorder="1" applyAlignment="1">
      <alignment horizontal="center" vertical="center"/>
    </xf>
    <xf numFmtId="174" fontId="9" fillId="4" borderId="25" xfId="0" applyNumberFormat="1" applyFont="1" applyFill="1" applyBorder="1" applyAlignment="1">
      <alignment horizontal="center" vertical="center"/>
    </xf>
    <xf numFmtId="174" fontId="9" fillId="4" borderId="26" xfId="0" applyNumberFormat="1" applyFont="1" applyFill="1" applyBorder="1" applyAlignment="1">
      <alignment horizontal="center" vertical="center"/>
    </xf>
    <xf numFmtId="174" fontId="9" fillId="4" borderId="17" xfId="0" applyNumberFormat="1" applyFont="1" applyFill="1" applyBorder="1" applyAlignment="1" applyProtection="1">
      <alignment horizontal="center" vertical="center" wrapText="1"/>
    </xf>
    <xf numFmtId="174" fontId="9" fillId="4" borderId="20" xfId="0" applyNumberFormat="1" applyFont="1" applyFill="1" applyBorder="1" applyAlignment="1" applyProtection="1">
      <alignment horizontal="center" vertical="center" wrapText="1"/>
    </xf>
    <xf numFmtId="183" fontId="4" fillId="4" borderId="24" xfId="1" applyNumberFormat="1" applyFont="1" applyFill="1" applyBorder="1" applyAlignment="1">
      <alignment horizontal="left"/>
    </xf>
    <xf numFmtId="183" fontId="4" fillId="4" borderId="25" xfId="1" applyNumberFormat="1" applyFont="1" applyFill="1" applyBorder="1" applyAlignment="1">
      <alignment horizontal="left"/>
    </xf>
    <xf numFmtId="183" fontId="5" fillId="4" borderId="34" xfId="1" applyNumberFormat="1" applyFont="1" applyFill="1" applyBorder="1" applyAlignment="1"/>
    <xf numFmtId="183" fontId="5" fillId="4" borderId="46" xfId="1" applyNumberFormat="1" applyFont="1" applyFill="1" applyBorder="1" applyAlignment="1"/>
    <xf numFmtId="183" fontId="5" fillId="4" borderId="43" xfId="1" applyNumberFormat="1" applyFont="1" applyFill="1" applyBorder="1" applyAlignment="1">
      <alignment horizontal="left"/>
    </xf>
    <xf numFmtId="183" fontId="5" fillId="4" borderId="10" xfId="1" applyNumberFormat="1" applyFont="1" applyFill="1" applyBorder="1" applyAlignment="1">
      <alignment horizontal="left"/>
    </xf>
    <xf numFmtId="183" fontId="4" fillId="4" borderId="41" xfId="1" applyNumberFormat="1" applyFont="1" applyFill="1" applyBorder="1" applyAlignment="1">
      <alignment horizontal="left"/>
    </xf>
    <xf numFmtId="183" fontId="4" fillId="4" borderId="42" xfId="1" applyNumberFormat="1" applyFont="1" applyFill="1" applyBorder="1" applyAlignment="1">
      <alignment horizontal="left"/>
    </xf>
    <xf numFmtId="174" fontId="9" fillId="4" borderId="18" xfId="0" applyNumberFormat="1" applyFont="1" applyFill="1" applyBorder="1" applyAlignment="1">
      <alignment horizontal="center" vertical="center"/>
    </xf>
    <xf numFmtId="174" fontId="9" fillId="4" borderId="17" xfId="0" applyNumberFormat="1" applyFont="1" applyFill="1" applyBorder="1" applyAlignment="1">
      <alignment horizontal="center" vertical="center"/>
    </xf>
    <xf numFmtId="174" fontId="9" fillId="4" borderId="28" xfId="0" applyNumberFormat="1" applyFont="1" applyFill="1" applyBorder="1" applyAlignment="1">
      <alignment horizontal="center" vertical="center" wrapText="1"/>
    </xf>
    <xf numFmtId="174" fontId="9" fillId="4" borderId="11" xfId="0" applyNumberFormat="1" applyFont="1" applyFill="1" applyBorder="1" applyAlignment="1">
      <alignment horizontal="center" vertical="center" wrapText="1"/>
    </xf>
    <xf numFmtId="174" fontId="9" fillId="4" borderId="55" xfId="0" applyNumberFormat="1" applyFont="1" applyFill="1" applyBorder="1" applyAlignment="1">
      <alignment horizontal="center" vertical="center" wrapText="1"/>
    </xf>
    <xf numFmtId="38" fontId="9" fillId="4" borderId="61" xfId="0" applyFont="1" applyFill="1" applyBorder="1" applyAlignment="1">
      <alignment horizontal="center" vertical="center" wrapText="1"/>
    </xf>
    <xf numFmtId="38" fontId="9" fillId="4" borderId="59" xfId="0" applyFont="1" applyFill="1" applyBorder="1" applyAlignment="1">
      <alignment horizontal="center" vertical="center" wrapText="1"/>
    </xf>
    <xf numFmtId="38" fontId="9" fillId="4" borderId="69" xfId="0" applyFont="1" applyFill="1" applyBorder="1" applyAlignment="1">
      <alignment horizontal="center" vertical="center" wrapText="1"/>
    </xf>
    <xf numFmtId="38" fontId="9" fillId="4" borderId="73" xfId="0" applyFont="1" applyFill="1" applyBorder="1" applyAlignment="1">
      <alignment horizontal="center" vertical="center" wrapText="1"/>
    </xf>
    <xf numFmtId="38" fontId="9" fillId="4" borderId="60" xfId="0" applyFont="1" applyFill="1" applyBorder="1" applyAlignment="1">
      <alignment horizontal="center" vertical="center" wrapText="1"/>
    </xf>
    <xf numFmtId="38" fontId="9" fillId="4" borderId="58" xfId="0" applyFont="1" applyFill="1" applyBorder="1" applyAlignment="1">
      <alignment horizontal="center" vertical="center" wrapText="1"/>
    </xf>
    <xf numFmtId="38" fontId="9" fillId="4" borderId="29" xfId="0" applyFont="1" applyFill="1" applyBorder="1" applyAlignment="1">
      <alignment horizontal="center" vertical="center"/>
    </xf>
    <xf numFmtId="38" fontId="9" fillId="4" borderId="9" xfId="0" applyFont="1" applyFill="1" applyBorder="1" applyAlignment="1">
      <alignment horizontal="center" vertical="center"/>
    </xf>
    <xf numFmtId="38" fontId="9" fillId="4" borderId="56" xfId="0" applyFont="1" applyFill="1" applyBorder="1" applyAlignment="1">
      <alignment horizontal="center" vertical="center"/>
    </xf>
    <xf numFmtId="2" fontId="9" fillId="4" borderId="76" xfId="0" applyNumberFormat="1" applyFont="1" applyFill="1" applyBorder="1" applyAlignment="1" applyProtection="1">
      <alignment horizontal="center" vertical="center" wrapText="1"/>
    </xf>
    <xf numFmtId="38" fontId="15" fillId="4" borderId="29" xfId="0" applyFont="1" applyFill="1" applyBorder="1" applyAlignment="1" applyProtection="1">
      <alignment horizontal="center" vertical="center"/>
    </xf>
    <xf numFmtId="38" fontId="15" fillId="4" borderId="28" xfId="0" applyFont="1" applyFill="1" applyBorder="1" applyAlignment="1" applyProtection="1">
      <alignment horizontal="center" vertical="center"/>
    </xf>
    <xf numFmtId="38" fontId="9" fillId="4" borderId="12" xfId="0" applyFont="1" applyFill="1" applyBorder="1" applyAlignment="1">
      <alignment horizontal="center" vertical="center"/>
    </xf>
    <xf numFmtId="38" fontId="9" fillId="4" borderId="3" xfId="0" applyFont="1" applyFill="1" applyBorder="1" applyAlignment="1">
      <alignment horizontal="center" vertical="center"/>
    </xf>
    <xf numFmtId="38" fontId="9" fillId="4" borderId="8" xfId="0" applyFont="1" applyFill="1" applyBorder="1" applyAlignment="1">
      <alignment horizontal="center" vertical="center"/>
    </xf>
    <xf numFmtId="38" fontId="9" fillId="4" borderId="36" xfId="0" applyFont="1" applyFill="1" applyBorder="1" applyAlignment="1">
      <alignment horizontal="center" vertical="center" wrapText="1"/>
    </xf>
    <xf numFmtId="38" fontId="9" fillId="4" borderId="32" xfId="0" applyFont="1" applyFill="1" applyBorder="1" applyAlignment="1">
      <alignment horizontal="center" vertical="center" wrapText="1"/>
    </xf>
    <xf numFmtId="178" fontId="34" fillId="4" borderId="16" xfId="0" applyNumberFormat="1" applyFont="1" applyFill="1" applyBorder="1" applyAlignment="1" applyProtection="1">
      <alignment horizontal="center" vertical="center"/>
    </xf>
    <xf numFmtId="178" fontId="34" fillId="4" borderId="18" xfId="0" applyNumberFormat="1" applyFont="1" applyFill="1" applyBorder="1" applyAlignment="1" applyProtection="1">
      <alignment horizontal="center" vertical="center"/>
    </xf>
    <xf numFmtId="178" fontId="34" fillId="4" borderId="17" xfId="0" applyNumberFormat="1" applyFont="1" applyFill="1" applyBorder="1" applyAlignment="1" applyProtection="1">
      <alignment horizontal="center" vertical="center"/>
    </xf>
    <xf numFmtId="181" fontId="9" fillId="4" borderId="21" xfId="0" applyNumberFormat="1" applyFont="1" applyFill="1" applyBorder="1" applyAlignment="1" applyProtection="1">
      <alignment horizontal="center" vertical="center"/>
    </xf>
    <xf numFmtId="181" fontId="9" fillId="4" borderId="23" xfId="0" applyNumberFormat="1" applyFont="1" applyFill="1" applyBorder="1" applyAlignment="1" applyProtection="1">
      <alignment horizontal="center" vertical="center"/>
    </xf>
    <xf numFmtId="181" fontId="9" fillId="4" borderId="22" xfId="0" applyNumberFormat="1" applyFont="1" applyFill="1" applyBorder="1" applyAlignment="1" applyProtection="1">
      <alignment horizontal="center" vertical="center"/>
    </xf>
    <xf numFmtId="38" fontId="4" fillId="4" borderId="21" xfId="0" applyFont="1" applyFill="1" applyBorder="1" applyAlignment="1">
      <alignment horizontal="center"/>
    </xf>
    <xf numFmtId="38" fontId="4" fillId="4" borderId="22" xfId="0" applyFont="1" applyFill="1" applyBorder="1" applyAlignment="1">
      <alignment horizontal="center"/>
    </xf>
    <xf numFmtId="38" fontId="9" fillId="4" borderId="28" xfId="0" applyFont="1" applyFill="1" applyBorder="1" applyAlignment="1">
      <alignment horizontal="center" vertical="center" wrapText="1"/>
    </xf>
    <xf numFmtId="38" fontId="9" fillId="4" borderId="11" xfId="0" applyFont="1" applyFill="1" applyBorder="1" applyAlignment="1">
      <alignment horizontal="center" vertical="center" wrapText="1"/>
    </xf>
    <xf numFmtId="38" fontId="9" fillId="4" borderId="55" xfId="0" applyFont="1" applyFill="1" applyBorder="1" applyAlignment="1">
      <alignment horizontal="center" vertical="center" wrapText="1"/>
    </xf>
    <xf numFmtId="38" fontId="14" fillId="4" borderId="29" xfId="0" applyFont="1" applyFill="1" applyBorder="1" applyAlignment="1">
      <alignment horizontal="center" vertical="center" wrapText="1"/>
    </xf>
    <xf numFmtId="38" fontId="14" fillId="4" borderId="28" xfId="0" applyFont="1" applyFill="1" applyBorder="1" applyAlignment="1">
      <alignment horizontal="center" vertical="center" wrapText="1"/>
    </xf>
    <xf numFmtId="38" fontId="14" fillId="4" borderId="8" xfId="0" applyFont="1" applyFill="1" applyBorder="1" applyAlignment="1">
      <alignment horizontal="center" vertical="center" wrapText="1"/>
    </xf>
    <xf numFmtId="38" fontId="14" fillId="4" borderId="13" xfId="0" applyFont="1" applyFill="1" applyBorder="1" applyAlignment="1">
      <alignment horizontal="center" vertical="center" wrapText="1"/>
    </xf>
    <xf numFmtId="38" fontId="14" fillId="4" borderId="27" xfId="0" applyFont="1" applyFill="1" applyBorder="1" applyAlignment="1">
      <alignment horizontal="center" vertical="center" wrapText="1"/>
    </xf>
    <xf numFmtId="38" fontId="14" fillId="4" borderId="12" xfId="0" applyFont="1" applyFill="1" applyBorder="1" applyAlignment="1">
      <alignment horizontal="center" vertical="center"/>
    </xf>
    <xf numFmtId="38" fontId="14" fillId="4" borderId="29" xfId="0" applyFont="1" applyFill="1" applyBorder="1" applyAlignment="1">
      <alignment horizontal="center" vertical="center"/>
    </xf>
    <xf numFmtId="38" fontId="14" fillId="4" borderId="28" xfId="0" applyFont="1" applyFill="1" applyBorder="1" applyAlignment="1">
      <alignment horizontal="center" vertical="center"/>
    </xf>
    <xf numFmtId="38" fontId="14" fillId="4" borderId="8" xfId="0" applyFont="1" applyFill="1" applyBorder="1" applyAlignment="1">
      <alignment horizontal="center" vertical="center"/>
    </xf>
    <xf numFmtId="38" fontId="14" fillId="4" borderId="13" xfId="0" applyFont="1" applyFill="1" applyBorder="1" applyAlignment="1">
      <alignment horizontal="center" vertical="center"/>
    </xf>
    <xf numFmtId="38" fontId="14" fillId="4" borderId="27" xfId="0" applyFont="1" applyFill="1" applyBorder="1" applyAlignment="1">
      <alignment horizontal="center" vertical="center"/>
    </xf>
    <xf numFmtId="38" fontId="9" fillId="4" borderId="12" xfId="0" applyFont="1" applyFill="1" applyBorder="1" applyAlignment="1">
      <alignment horizontal="center" vertical="center" wrapText="1"/>
    </xf>
    <xf numFmtId="38" fontId="9" fillId="4" borderId="3" xfId="0" applyFont="1" applyFill="1" applyBorder="1" applyAlignment="1">
      <alignment horizontal="center" vertical="center" wrapText="1"/>
    </xf>
    <xf numFmtId="38" fontId="9" fillId="4" borderId="53" xfId="0" applyFont="1" applyFill="1" applyBorder="1" applyAlignment="1">
      <alignment horizontal="center" vertical="center" wrapText="1"/>
    </xf>
    <xf numFmtId="170" fontId="9" fillId="4" borderId="12" xfId="0" applyNumberFormat="1" applyFont="1" applyFill="1" applyBorder="1" applyAlignment="1">
      <alignment horizontal="center" vertical="center"/>
    </xf>
    <xf numFmtId="170" fontId="9" fillId="4" borderId="29" xfId="0" applyNumberFormat="1" applyFont="1" applyFill="1" applyBorder="1" applyAlignment="1">
      <alignment horizontal="center" vertical="center"/>
    </xf>
    <xf numFmtId="170" fontId="9" fillId="4" borderId="40" xfId="0" applyNumberFormat="1" applyFont="1" applyFill="1" applyBorder="1" applyAlignment="1">
      <alignment horizontal="center" vertical="center"/>
    </xf>
    <xf numFmtId="38" fontId="14" fillId="0" borderId="18" xfId="0" applyFont="1" applyFill="1" applyBorder="1" applyAlignment="1">
      <alignment horizontal="center" vertical="center"/>
    </xf>
    <xf numFmtId="38" fontId="14" fillId="0" borderId="17" xfId="0" applyFont="1" applyFill="1" applyBorder="1" applyAlignment="1">
      <alignment horizontal="center" vertical="center"/>
    </xf>
    <xf numFmtId="38" fontId="4" fillId="4" borderId="28" xfId="0" applyFont="1" applyFill="1" applyBorder="1" applyAlignment="1">
      <alignment horizontal="center" vertical="center" wrapText="1"/>
    </xf>
    <xf numFmtId="38" fontId="4" fillId="4" borderId="11" xfId="0" applyFont="1" applyFill="1" applyBorder="1" applyAlignment="1">
      <alignment horizontal="center" vertical="center" wrapText="1"/>
    </xf>
    <xf numFmtId="38" fontId="4" fillId="4" borderId="55" xfId="0" applyFont="1" applyFill="1" applyBorder="1" applyAlignment="1">
      <alignment horizontal="center" vertical="center" wrapText="1"/>
    </xf>
    <xf numFmtId="38" fontId="14" fillId="4" borderId="12" xfId="0" applyFont="1" applyFill="1" applyBorder="1" applyAlignment="1">
      <alignment horizontal="center" vertical="center" wrapText="1"/>
    </xf>
    <xf numFmtId="178" fontId="14" fillId="4" borderId="38" xfId="0" applyNumberFormat="1" applyFont="1" applyFill="1" applyBorder="1" applyAlignment="1">
      <alignment horizontal="center" vertical="center"/>
    </xf>
    <xf numFmtId="178" fontId="14" fillId="4" borderId="48" xfId="0" applyNumberFormat="1" applyFont="1" applyFill="1" applyBorder="1" applyAlignment="1">
      <alignment horizontal="center" vertical="center"/>
    </xf>
    <xf numFmtId="181" fontId="14" fillId="4" borderId="41" xfId="0" applyNumberFormat="1" applyFont="1" applyFill="1" applyBorder="1" applyAlignment="1">
      <alignment horizontal="center" vertical="center"/>
    </xf>
    <xf numFmtId="181" fontId="14" fillId="4" borderId="50" xfId="0" applyNumberFormat="1" applyFont="1" applyFill="1" applyBorder="1" applyAlignment="1">
      <alignment horizontal="center" vertical="center"/>
    </xf>
    <xf numFmtId="2" fontId="9" fillId="4" borderId="28" xfId="0" applyNumberFormat="1" applyFont="1" applyFill="1" applyBorder="1" applyAlignment="1">
      <alignment horizontal="center" vertical="center" wrapText="1"/>
    </xf>
    <xf numFmtId="2" fontId="9" fillId="4" borderId="55" xfId="0" applyNumberFormat="1" applyFont="1" applyFill="1" applyBorder="1" applyAlignment="1">
      <alignment horizontal="center" vertical="center" wrapText="1"/>
    </xf>
    <xf numFmtId="38" fontId="9" fillId="4" borderId="12" xfId="0" applyFont="1" applyFill="1" applyBorder="1" applyAlignment="1" applyProtection="1">
      <alignment horizontal="center" vertical="center" wrapText="1"/>
    </xf>
    <xf numFmtId="38" fontId="9" fillId="4" borderId="3" xfId="0" applyFont="1" applyFill="1" applyBorder="1" applyAlignment="1" applyProtection="1">
      <alignment horizontal="center" vertical="center" wrapText="1"/>
    </xf>
    <xf numFmtId="38" fontId="9" fillId="4" borderId="28" xfId="0" applyFont="1" applyFill="1" applyBorder="1" applyAlignment="1" applyProtection="1">
      <alignment horizontal="center" vertical="center" wrapText="1"/>
    </xf>
    <xf numFmtId="38" fontId="9" fillId="4" borderId="11" xfId="0" applyFont="1" applyFill="1" applyBorder="1" applyAlignment="1" applyProtection="1">
      <alignment horizontal="center" vertical="center" wrapText="1"/>
    </xf>
    <xf numFmtId="38" fontId="9" fillId="4" borderId="29" xfId="0" applyFont="1" applyFill="1" applyBorder="1" applyAlignment="1" applyProtection="1">
      <alignment horizontal="center" vertical="center" wrapText="1"/>
    </xf>
    <xf numFmtId="38" fontId="9" fillId="4" borderId="9" xfId="0" applyFont="1" applyFill="1" applyBorder="1" applyAlignment="1" applyProtection="1">
      <alignment horizontal="center" vertical="center" wrapText="1"/>
    </xf>
    <xf numFmtId="178" fontId="14" fillId="4" borderId="12" xfId="0" applyNumberFormat="1" applyFont="1" applyFill="1" applyBorder="1" applyAlignment="1" applyProtection="1">
      <alignment horizontal="center" vertical="center"/>
    </xf>
    <xf numFmtId="178" fontId="14" fillId="4" borderId="39" xfId="0" applyNumberFormat="1" applyFont="1" applyFill="1" applyBorder="1" applyAlignment="1" applyProtection="1">
      <alignment horizontal="center" vertical="center"/>
    </xf>
    <xf numFmtId="178" fontId="14" fillId="4" borderId="28" xfId="0" applyNumberFormat="1" applyFont="1" applyFill="1" applyBorder="1" applyAlignment="1" applyProtection="1">
      <alignment horizontal="center" vertical="center"/>
    </xf>
    <xf numFmtId="38" fontId="14" fillId="4" borderId="40" xfId="0" applyFont="1" applyFill="1" applyBorder="1" applyAlignment="1" applyProtection="1">
      <alignment horizontal="center" vertical="center"/>
    </xf>
    <xf numFmtId="2" fontId="9" fillId="4" borderId="33" xfId="0" applyNumberFormat="1" applyFont="1" applyFill="1" applyBorder="1" applyAlignment="1" applyProtection="1">
      <alignment horizontal="center" vertical="center" wrapText="1"/>
    </xf>
    <xf numFmtId="181" fontId="14" fillId="4" borderId="8" xfId="0" applyNumberFormat="1" applyFont="1" applyFill="1" applyBorder="1" applyAlignment="1" applyProtection="1">
      <alignment horizontal="center" vertical="center"/>
    </xf>
    <xf numFmtId="181" fontId="14" fillId="4" borderId="42" xfId="0" applyNumberFormat="1" applyFont="1" applyFill="1" applyBorder="1" applyAlignment="1" applyProtection="1">
      <alignment horizontal="center" vertical="center"/>
    </xf>
    <xf numFmtId="181" fontId="14" fillId="4" borderId="27" xfId="0" applyNumberFormat="1" applyFont="1" applyFill="1" applyBorder="1" applyAlignment="1" applyProtection="1">
      <alignment horizontal="center" vertical="center"/>
    </xf>
    <xf numFmtId="38" fontId="14" fillId="4" borderId="31" xfId="0" applyFont="1" applyFill="1" applyBorder="1" applyAlignment="1" applyProtection="1">
      <alignment horizontal="center" vertical="center"/>
    </xf>
    <xf numFmtId="38" fontId="4" fillId="4" borderId="0" xfId="0" applyFont="1" applyFill="1" applyAlignment="1">
      <alignment horizontal="left"/>
    </xf>
    <xf numFmtId="174" fontId="4" fillId="4" borderId="23" xfId="0" applyNumberFormat="1" applyFont="1" applyFill="1" applyBorder="1" applyAlignment="1">
      <alignment horizontal="center"/>
    </xf>
    <xf numFmtId="174" fontId="4" fillId="4" borderId="34" xfId="0" applyNumberFormat="1" applyFont="1" applyFill="1" applyBorder="1" applyAlignment="1">
      <alignment horizontal="left"/>
    </xf>
    <xf numFmtId="174" fontId="4" fillId="4" borderId="46" xfId="0" applyNumberFormat="1" applyFont="1" applyFill="1" applyBorder="1" applyAlignment="1">
      <alignment horizontal="left"/>
    </xf>
    <xf numFmtId="174" fontId="4" fillId="4" borderId="33" xfId="0" applyNumberFormat="1" applyFont="1" applyFill="1" applyBorder="1" applyAlignment="1">
      <alignment horizontal="left"/>
    </xf>
    <xf numFmtId="38" fontId="15" fillId="4" borderId="31" xfId="0" applyFont="1" applyFill="1" applyBorder="1" applyAlignment="1">
      <alignment horizontal="center" vertical="center" wrapText="1"/>
    </xf>
    <xf numFmtId="38" fontId="15" fillId="4" borderId="13" xfId="0" applyFont="1" applyFill="1" applyBorder="1" applyAlignment="1">
      <alignment horizontal="center" vertical="center" wrapText="1"/>
    </xf>
    <xf numFmtId="38" fontId="15" fillId="4" borderId="27" xfId="0" applyFont="1" applyFill="1" applyBorder="1" applyAlignment="1">
      <alignment horizontal="center" vertical="center" wrapText="1"/>
    </xf>
    <xf numFmtId="167" fontId="9" fillId="4" borderId="40" xfId="0" applyNumberFormat="1" applyFont="1" applyFill="1" applyBorder="1" applyAlignment="1">
      <alignment horizontal="center" vertical="center" wrapText="1"/>
    </xf>
    <xf numFmtId="167" fontId="9" fillId="4" borderId="31" xfId="0" applyNumberFormat="1" applyFont="1" applyFill="1" applyBorder="1" applyAlignment="1">
      <alignment horizontal="center" vertical="center" wrapText="1"/>
    </xf>
    <xf numFmtId="38" fontId="9" fillId="4" borderId="52" xfId="0" applyFont="1" applyFill="1" applyBorder="1" applyAlignment="1">
      <alignment horizontal="center" vertical="center" wrapText="1"/>
    </xf>
    <xf numFmtId="38" fontId="9" fillId="4" borderId="51" xfId="0" applyFont="1" applyFill="1" applyBorder="1" applyAlignment="1">
      <alignment horizontal="center" vertical="center" wrapText="1"/>
    </xf>
    <xf numFmtId="38" fontId="0" fillId="4" borderId="23" xfId="0" applyFill="1" applyBorder="1" applyAlignment="1">
      <alignment horizontal="center"/>
    </xf>
    <xf numFmtId="178" fontId="15" fillId="4" borderId="52" xfId="0" applyNumberFormat="1" applyFont="1" applyFill="1" applyBorder="1" applyAlignment="1">
      <alignment horizontal="center" vertical="center" wrapText="1"/>
    </xf>
    <xf numFmtId="178" fontId="15" fillId="4" borderId="49" xfId="0" applyNumberFormat="1" applyFont="1" applyFill="1" applyBorder="1" applyAlignment="1">
      <alignment horizontal="center" vertical="center" wrapText="1"/>
    </xf>
    <xf numFmtId="174" fontId="4" fillId="4" borderId="3" xfId="0" applyNumberFormat="1" applyFont="1" applyFill="1" applyBorder="1" applyAlignment="1">
      <alignment horizontal="left"/>
    </xf>
    <xf numFmtId="174" fontId="4" fillId="4" borderId="9" xfId="0" applyNumberFormat="1" applyFont="1" applyFill="1" applyBorder="1" applyAlignment="1">
      <alignment horizontal="left"/>
    </xf>
    <xf numFmtId="174" fontId="4" fillId="4" borderId="11" xfId="0" applyNumberFormat="1" applyFont="1" applyFill="1" applyBorder="1" applyAlignment="1">
      <alignment horizontal="left"/>
    </xf>
    <xf numFmtId="174" fontId="9" fillId="4" borderId="46" xfId="0" applyNumberFormat="1" applyFont="1" applyFill="1" applyBorder="1" applyAlignment="1">
      <alignment horizontal="center"/>
    </xf>
    <xf numFmtId="174" fontId="4" fillId="4" borderId="43" xfId="0" applyNumberFormat="1" applyFont="1" applyFill="1" applyBorder="1" applyAlignment="1">
      <alignment horizontal="center"/>
    </xf>
    <xf numFmtId="174" fontId="4" fillId="4" borderId="10" xfId="0" applyNumberFormat="1" applyFont="1" applyFill="1" applyBorder="1" applyAlignment="1">
      <alignment horizontal="center"/>
    </xf>
    <xf numFmtId="174" fontId="4" fillId="4" borderId="44" xfId="0" applyNumberFormat="1" applyFont="1" applyFill="1" applyBorder="1" applyAlignment="1">
      <alignment horizontal="center"/>
    </xf>
    <xf numFmtId="38" fontId="5" fillId="4" borderId="46" xfId="0" applyFont="1" applyFill="1" applyBorder="1" applyAlignment="1">
      <alignment horizontal="center"/>
    </xf>
    <xf numFmtId="38" fontId="4" fillId="4" borderId="0" xfId="0" applyFont="1" applyFill="1" applyAlignment="1">
      <alignment horizontal="center"/>
    </xf>
    <xf numFmtId="38" fontId="15" fillId="4" borderId="40" xfId="0" applyFont="1" applyFill="1" applyBorder="1" applyAlignment="1">
      <alignment horizontal="center" vertical="center" wrapText="1"/>
    </xf>
    <xf numFmtId="38" fontId="15" fillId="4" borderId="29" xfId="0" applyFont="1" applyFill="1" applyBorder="1" applyAlignment="1">
      <alignment horizontal="center" vertical="center" wrapText="1"/>
    </xf>
    <xf numFmtId="38" fontId="15" fillId="4" borderId="28" xfId="0" applyFont="1" applyFill="1" applyBorder="1" applyAlignment="1">
      <alignment horizontal="center" vertical="center" wrapText="1"/>
    </xf>
    <xf numFmtId="38" fontId="9" fillId="4" borderId="18" xfId="0" applyFont="1" applyFill="1" applyBorder="1" applyAlignment="1">
      <alignment horizontal="center" vertical="center"/>
    </xf>
    <xf numFmtId="167" fontId="9" fillId="4" borderId="29" xfId="0" applyNumberFormat="1" applyFont="1" applyFill="1" applyBorder="1" applyAlignment="1">
      <alignment horizontal="center" vertical="center" wrapText="1"/>
    </xf>
    <xf numFmtId="167" fontId="9" fillId="4" borderId="13" xfId="0" applyNumberFormat="1" applyFont="1" applyFill="1" applyBorder="1" applyAlignment="1">
      <alignment horizontal="center" vertical="center" wrapText="1"/>
    </xf>
    <xf numFmtId="38" fontId="4" fillId="4" borderId="23" xfId="0" applyFont="1" applyFill="1" applyBorder="1" applyAlignment="1">
      <alignment horizontal="center"/>
    </xf>
    <xf numFmtId="38" fontId="4" fillId="4" borderId="16" xfId="0" applyFont="1" applyFill="1" applyBorder="1" applyAlignment="1">
      <alignment horizontal="left"/>
    </xf>
    <xf numFmtId="38" fontId="0" fillId="4" borderId="39" xfId="0" applyFill="1" applyBorder="1"/>
    <xf numFmtId="38" fontId="0" fillId="4" borderId="48" xfId="0" applyFill="1" applyBorder="1"/>
    <xf numFmtId="174" fontId="4" fillId="4" borderId="43" xfId="0" applyNumberFormat="1" applyFont="1" applyFill="1" applyBorder="1" applyAlignment="1">
      <alignment horizontal="left"/>
    </xf>
    <xf numFmtId="174" fontId="4" fillId="4" borderId="10" xfId="0" applyNumberFormat="1" applyFont="1" applyFill="1" applyBorder="1" applyAlignment="1">
      <alignment horizontal="left"/>
    </xf>
    <xf numFmtId="174" fontId="4" fillId="4" borderId="44" xfId="0" applyNumberFormat="1" applyFont="1" applyFill="1" applyBorder="1" applyAlignment="1">
      <alignment horizontal="left"/>
    </xf>
    <xf numFmtId="174" fontId="4" fillId="4" borderId="41" xfId="0" applyNumberFormat="1" applyFont="1" applyFill="1" applyBorder="1" applyAlignment="1">
      <alignment horizontal="left"/>
    </xf>
    <xf numFmtId="174" fontId="4" fillId="4" borderId="42" xfId="0" applyNumberFormat="1" applyFont="1" applyFill="1" applyBorder="1" applyAlignment="1">
      <alignment horizontal="left"/>
    </xf>
    <xf numFmtId="174" fontId="4" fillId="4" borderId="50" xfId="0" applyNumberFormat="1" applyFont="1" applyFill="1" applyBorder="1" applyAlignment="1">
      <alignment horizontal="left"/>
    </xf>
    <xf numFmtId="174" fontId="4" fillId="4" borderId="8" xfId="0" applyNumberFormat="1" applyFont="1" applyFill="1" applyBorder="1" applyAlignment="1">
      <alignment horizontal="left"/>
    </xf>
    <xf numFmtId="174" fontId="4" fillId="4" borderId="13" xfId="0" applyNumberFormat="1" applyFont="1" applyFill="1" applyBorder="1" applyAlignment="1">
      <alignment horizontal="left"/>
    </xf>
    <xf numFmtId="174" fontId="4" fillId="4" borderId="27" xfId="0" applyNumberFormat="1" applyFont="1" applyFill="1" applyBorder="1" applyAlignment="1">
      <alignment horizontal="left"/>
    </xf>
    <xf numFmtId="170" fontId="24" fillId="4" borderId="9" xfId="0" applyNumberFormat="1" applyFont="1" applyFill="1" applyBorder="1" applyAlignment="1" applyProtection="1">
      <alignment horizontal="center" vertical="center"/>
    </xf>
    <xf numFmtId="2" fontId="24" fillId="4" borderId="9" xfId="0" applyNumberFormat="1" applyFont="1" applyFill="1" applyBorder="1" applyAlignment="1" applyProtection="1">
      <alignment horizontal="center" vertical="center" wrapText="1"/>
    </xf>
    <xf numFmtId="38" fontId="24" fillId="4" borderId="9" xfId="0" applyFont="1" applyFill="1" applyBorder="1" applyAlignment="1">
      <alignment horizontal="center" vertical="center" wrapText="1"/>
    </xf>
    <xf numFmtId="38" fontId="24" fillId="4" borderId="9" xfId="0" applyFont="1" applyFill="1" applyBorder="1" applyAlignment="1" applyProtection="1">
      <alignment horizontal="center"/>
    </xf>
    <xf numFmtId="38" fontId="24" fillId="4" borderId="9" xfId="0" applyFont="1" applyFill="1" applyBorder="1" applyAlignment="1" applyProtection="1">
      <alignment horizontal="center" vertical="center" wrapText="1"/>
    </xf>
    <xf numFmtId="170" fontId="24" fillId="4" borderId="9" xfId="0" applyNumberFormat="1" applyFont="1" applyFill="1" applyBorder="1" applyAlignment="1" applyProtection="1">
      <alignment horizontal="center"/>
    </xf>
    <xf numFmtId="38" fontId="3" fillId="4" borderId="9" xfId="0" applyFont="1" applyFill="1" applyBorder="1" applyAlignment="1">
      <alignment horizontal="center"/>
    </xf>
    <xf numFmtId="181" fontId="24" fillId="4" borderId="9" xfId="0" applyNumberFormat="1" applyFont="1" applyFill="1" applyBorder="1" applyAlignment="1" applyProtection="1">
      <alignment horizontal="center" vertical="center"/>
    </xf>
    <xf numFmtId="38" fontId="24" fillId="4" borderId="9" xfId="0" applyFont="1" applyFill="1" applyBorder="1" applyAlignment="1">
      <alignment horizontal="center" vertical="center"/>
    </xf>
    <xf numFmtId="38" fontId="24" fillId="4" borderId="9" xfId="0" applyFont="1" applyFill="1" applyBorder="1" applyAlignment="1" applyProtection="1">
      <alignment horizontal="center" vertical="center"/>
    </xf>
    <xf numFmtId="38" fontId="24" fillId="4" borderId="9" xfId="0" applyNumberFormat="1" applyFont="1" applyFill="1" applyBorder="1" applyAlignment="1" applyProtection="1">
      <alignment horizontal="center" vertical="center"/>
    </xf>
    <xf numFmtId="38" fontId="28" fillId="4" borderId="9" xfId="0" applyFont="1" applyFill="1" applyBorder="1" applyAlignment="1">
      <alignment horizontal="center" vertical="center" wrapText="1"/>
    </xf>
    <xf numFmtId="38" fontId="28" fillId="4" borderId="9" xfId="0" applyFont="1" applyFill="1" applyBorder="1" applyAlignment="1">
      <alignment horizontal="center" vertical="center"/>
    </xf>
    <xf numFmtId="38" fontId="9" fillId="4" borderId="30" xfId="0" applyFont="1" applyFill="1" applyBorder="1" applyAlignment="1">
      <alignment horizontal="center"/>
    </xf>
    <xf numFmtId="38" fontId="9" fillId="4" borderId="4" xfId="0" applyFont="1" applyFill="1" applyBorder="1" applyAlignment="1">
      <alignment horizontal="center"/>
    </xf>
    <xf numFmtId="38" fontId="9" fillId="4" borderId="10" xfId="0" applyFont="1" applyFill="1" applyBorder="1" applyAlignment="1">
      <alignment horizontal="center"/>
    </xf>
    <xf numFmtId="166" fontId="28" fillId="4" borderId="9" xfId="0" applyNumberFormat="1" applyFont="1" applyFill="1" applyBorder="1" applyAlignment="1">
      <alignment horizontal="center" vertical="center" wrapText="1"/>
    </xf>
    <xf numFmtId="0" fontId="45" fillId="8" borderId="9" xfId="13" applyNumberFormat="1" applyFont="1" applyFill="1" applyBorder="1" applyAlignment="1" applyProtection="1">
      <alignment horizontal="center"/>
    </xf>
    <xf numFmtId="0" fontId="45" fillId="8" borderId="4" xfId="13" applyNumberFormat="1" applyFont="1" applyFill="1" applyBorder="1" applyAlignment="1" applyProtection="1">
      <alignment horizontal="center"/>
    </xf>
    <xf numFmtId="4" fontId="46" fillId="8" borderId="4" xfId="13" applyNumberFormat="1" applyFont="1" applyFill="1" applyBorder="1" applyAlignment="1" applyProtection="1">
      <alignment horizontal="center"/>
    </xf>
    <xf numFmtId="4" fontId="46" fillId="8" borderId="9" xfId="13" applyNumberFormat="1" applyFont="1" applyFill="1" applyBorder="1" applyAlignment="1" applyProtection="1">
      <alignment horizontal="center"/>
    </xf>
    <xf numFmtId="0" fontId="3" fillId="4" borderId="9" xfId="2" applyFont="1" applyFill="1" applyBorder="1" applyAlignment="1">
      <alignment horizontal="left" vertical="center" wrapText="1"/>
    </xf>
    <xf numFmtId="0" fontId="3" fillId="4" borderId="30" xfId="2" applyFill="1" applyBorder="1" applyAlignment="1">
      <alignment horizontal="left"/>
    </xf>
    <xf numFmtId="0" fontId="3" fillId="4" borderId="4" xfId="2" applyFill="1" applyBorder="1" applyAlignment="1">
      <alignment horizontal="left"/>
    </xf>
    <xf numFmtId="38" fontId="24" fillId="6" borderId="9" xfId="0" applyFont="1" applyFill="1" applyBorder="1" applyAlignment="1">
      <alignment horizontal="center" vertical="center"/>
    </xf>
    <xf numFmtId="38" fontId="34" fillId="6" borderId="56" xfId="0" applyFont="1" applyFill="1" applyBorder="1" applyAlignment="1">
      <alignment horizontal="center" vertical="center" wrapText="1"/>
    </xf>
    <xf numFmtId="38" fontId="34" fillId="6" borderId="14" xfId="0" applyFont="1" applyFill="1" applyBorder="1" applyAlignment="1">
      <alignment horizontal="center" vertical="center" wrapText="1"/>
    </xf>
    <xf numFmtId="0" fontId="3" fillId="4" borderId="9" xfId="2" applyFont="1" applyFill="1" applyBorder="1" applyAlignment="1">
      <alignment horizontal="left" vertical="center"/>
    </xf>
    <xf numFmtId="38" fontId="9" fillId="4" borderId="9" xfId="0" applyFont="1" applyFill="1" applyBorder="1" applyAlignment="1">
      <alignment horizontal="center"/>
    </xf>
    <xf numFmtId="194" fontId="0" fillId="4" borderId="30" xfId="1" applyNumberFormat="1" applyFont="1" applyFill="1" applyBorder="1" applyAlignment="1">
      <alignment horizontal="left"/>
    </xf>
    <xf numFmtId="194" fontId="0" fillId="4" borderId="10" xfId="1" applyNumberFormat="1" applyFont="1" applyFill="1" applyBorder="1" applyAlignment="1">
      <alignment horizontal="left"/>
    </xf>
    <xf numFmtId="194" fontId="0" fillId="4" borderId="4" xfId="1" applyNumberFormat="1" applyFont="1" applyFill="1" applyBorder="1" applyAlignment="1">
      <alignment horizontal="left"/>
    </xf>
    <xf numFmtId="38" fontId="40" fillId="4" borderId="9" xfId="0" applyFont="1" applyFill="1" applyBorder="1" applyAlignment="1">
      <alignment horizontal="center" vertical="center"/>
    </xf>
    <xf numFmtId="38" fontId="34" fillId="4" borderId="76" xfId="0" applyFont="1" applyFill="1" applyBorder="1" applyAlignment="1">
      <alignment horizontal="center" vertical="center"/>
    </xf>
    <xf numFmtId="38" fontId="34" fillId="4" borderId="67" xfId="0" applyFont="1" applyFill="1" applyBorder="1" applyAlignment="1">
      <alignment horizontal="center" vertical="center"/>
    </xf>
    <xf numFmtId="38" fontId="34" fillId="4" borderId="54" xfId="0" applyFont="1" applyFill="1" applyBorder="1" applyAlignment="1">
      <alignment horizontal="center" vertical="center"/>
    </xf>
    <xf numFmtId="38" fontId="34" fillId="4" borderId="65" xfId="0" applyFont="1" applyFill="1" applyBorder="1" applyAlignment="1">
      <alignment horizontal="center" vertical="center"/>
    </xf>
    <xf numFmtId="38" fontId="34" fillId="4" borderId="46" xfId="0" applyFont="1" applyFill="1" applyBorder="1" applyAlignment="1">
      <alignment horizontal="center" vertical="center"/>
    </xf>
    <xf numFmtId="38" fontId="34" fillId="4" borderId="2" xfId="0" applyFont="1" applyFill="1" applyBorder="1" applyAlignment="1">
      <alignment horizontal="center" vertical="center"/>
    </xf>
    <xf numFmtId="166" fontId="28" fillId="4" borderId="9" xfId="3" applyNumberFormat="1" applyFont="1" applyFill="1" applyBorder="1" applyAlignment="1">
      <alignment horizontal="center" vertical="center"/>
    </xf>
    <xf numFmtId="194" fontId="0" fillId="4" borderId="9" xfId="1" applyNumberFormat="1" applyFont="1" applyFill="1" applyBorder="1" applyAlignment="1">
      <alignment horizontal="center"/>
    </xf>
    <xf numFmtId="38" fontId="9" fillId="4" borderId="76" xfId="0" applyFont="1" applyFill="1" applyBorder="1" applyAlignment="1">
      <alignment horizontal="center" vertical="center"/>
    </xf>
    <xf numFmtId="38" fontId="9" fillId="4" borderId="67" xfId="0" applyFont="1" applyFill="1" applyBorder="1" applyAlignment="1">
      <alignment horizontal="center" vertical="center"/>
    </xf>
    <xf numFmtId="38" fontId="9" fillId="4" borderId="54" xfId="0" applyFont="1" applyFill="1" applyBorder="1" applyAlignment="1">
      <alignment horizontal="center" vertical="center"/>
    </xf>
    <xf numFmtId="194" fontId="0" fillId="4" borderId="30" xfId="1" applyNumberFormat="1" applyFont="1" applyFill="1" applyBorder="1" applyAlignment="1">
      <alignment horizontal="center"/>
    </xf>
    <xf numFmtId="38" fontId="0" fillId="4" borderId="9" xfId="0" applyFill="1" applyBorder="1" applyAlignment="1">
      <alignment horizontal="left"/>
    </xf>
    <xf numFmtId="194" fontId="0" fillId="4" borderId="10" xfId="1" applyNumberFormat="1" applyFont="1" applyFill="1" applyBorder="1" applyAlignment="1">
      <alignment horizontal="center"/>
    </xf>
    <xf numFmtId="194" fontId="0" fillId="4" borderId="4" xfId="1" applyNumberFormat="1" applyFont="1" applyFill="1" applyBorder="1" applyAlignment="1">
      <alignment horizontal="center"/>
    </xf>
    <xf numFmtId="38" fontId="0" fillId="4" borderId="30" xfId="0" applyFill="1" applyBorder="1" applyAlignment="1">
      <alignment horizontal="center"/>
    </xf>
    <xf numFmtId="38" fontId="0" fillId="4" borderId="4" xfId="0" applyFill="1" applyBorder="1" applyAlignment="1">
      <alignment horizontal="center"/>
    </xf>
    <xf numFmtId="38" fontId="34" fillId="4" borderId="56" xfId="0" applyFont="1" applyFill="1" applyBorder="1" applyAlignment="1">
      <alignment horizontal="center" vertical="center"/>
    </xf>
    <xf numFmtId="38" fontId="34" fillId="4" borderId="14" xfId="0" applyFont="1" applyFill="1" applyBorder="1" applyAlignment="1">
      <alignment horizontal="center" vertical="center"/>
    </xf>
    <xf numFmtId="38" fontId="0" fillId="4" borderId="10" xfId="0" applyFill="1" applyBorder="1" applyAlignment="1">
      <alignment horizontal="center"/>
    </xf>
    <xf numFmtId="38" fontId="40" fillId="4" borderId="30" xfId="0" applyFont="1" applyFill="1" applyBorder="1" applyAlignment="1">
      <alignment horizontal="center"/>
    </xf>
    <xf numFmtId="38" fontId="40" fillId="4" borderId="10" xfId="0" applyFont="1" applyFill="1" applyBorder="1" applyAlignment="1">
      <alignment horizontal="center"/>
    </xf>
    <xf numFmtId="38" fontId="40" fillId="4" borderId="4" xfId="0" applyFont="1" applyFill="1" applyBorder="1" applyAlignment="1">
      <alignment horizontal="center"/>
    </xf>
    <xf numFmtId="38" fontId="0" fillId="4" borderId="76" xfId="0" applyFill="1" applyBorder="1" applyAlignment="1">
      <alignment horizontal="center"/>
    </xf>
    <xf numFmtId="38" fontId="0" fillId="4" borderId="54" xfId="0" applyFill="1" applyBorder="1" applyAlignment="1">
      <alignment horizontal="center"/>
    </xf>
    <xf numFmtId="3" fontId="24" fillId="4" borderId="9" xfId="2" applyNumberFormat="1" applyFont="1" applyFill="1" applyBorder="1" applyAlignment="1">
      <alignment horizontal="center" vertical="center"/>
    </xf>
    <xf numFmtId="38" fontId="0" fillId="4" borderId="30" xfId="0" applyFill="1" applyBorder="1" applyAlignment="1">
      <alignment horizontal="left"/>
    </xf>
    <xf numFmtId="38" fontId="0" fillId="4" borderId="10" xfId="0" applyFill="1" applyBorder="1" applyAlignment="1">
      <alignment horizontal="left"/>
    </xf>
    <xf numFmtId="0" fontId="24" fillId="4" borderId="30" xfId="2" applyFont="1" applyFill="1" applyBorder="1" applyAlignment="1">
      <alignment horizontal="center"/>
    </xf>
    <xf numFmtId="0" fontId="24" fillId="4" borderId="10" xfId="2" applyFont="1" applyFill="1" applyBorder="1" applyAlignment="1">
      <alignment horizontal="center"/>
    </xf>
    <xf numFmtId="0" fontId="24" fillId="4" borderId="4" xfId="2" applyFont="1" applyFill="1" applyBorder="1" applyAlignment="1">
      <alignment horizontal="center"/>
    </xf>
    <xf numFmtId="3" fontId="39" fillId="4" borderId="9" xfId="2" applyNumberFormat="1" applyFont="1" applyFill="1" applyBorder="1" applyAlignment="1">
      <alignment horizontal="left" vertical="center"/>
    </xf>
    <xf numFmtId="38" fontId="37" fillId="4" borderId="30" xfId="0" applyFont="1" applyFill="1" applyBorder="1" applyAlignment="1">
      <alignment horizontal="center" vertical="center"/>
    </xf>
    <xf numFmtId="38" fontId="37" fillId="4" borderId="10" xfId="0" applyFont="1" applyFill="1" applyBorder="1" applyAlignment="1">
      <alignment horizontal="center" vertical="center"/>
    </xf>
    <xf numFmtId="38" fontId="37" fillId="4" borderId="4" xfId="0" applyFont="1" applyFill="1" applyBorder="1" applyAlignment="1">
      <alignment horizontal="center" vertical="center"/>
    </xf>
    <xf numFmtId="169" fontId="24" fillId="7" borderId="30" xfId="2" applyNumberFormat="1" applyFont="1" applyFill="1" applyBorder="1" applyAlignment="1">
      <alignment horizontal="center" vertical="center"/>
    </xf>
    <xf numFmtId="169" fontId="24" fillId="7" borderId="10" xfId="2" applyNumberFormat="1" applyFont="1" applyFill="1" applyBorder="1" applyAlignment="1">
      <alignment horizontal="center" vertical="center"/>
    </xf>
    <xf numFmtId="169" fontId="24" fillId="7" borderId="4" xfId="2" applyNumberFormat="1" applyFont="1" applyFill="1" applyBorder="1" applyAlignment="1">
      <alignment horizontal="center" vertical="center"/>
    </xf>
    <xf numFmtId="38" fontId="3" fillId="4" borderId="30" xfId="0" applyFont="1" applyFill="1" applyBorder="1" applyAlignment="1" applyProtection="1">
      <alignment horizontal="left" vertical="center" wrapText="1"/>
    </xf>
    <xf numFmtId="38" fontId="3" fillId="4" borderId="10" xfId="0" applyFont="1" applyFill="1" applyBorder="1" applyAlignment="1" applyProtection="1">
      <alignment horizontal="left" vertical="center" wrapText="1"/>
    </xf>
    <xf numFmtId="169" fontId="32" fillId="7" borderId="67" xfId="2" applyNumberFormat="1" applyFont="1" applyFill="1" applyBorder="1" applyAlignment="1">
      <alignment horizontal="center" vertical="center" wrapText="1"/>
    </xf>
    <xf numFmtId="169" fontId="32" fillId="7" borderId="46" xfId="2" applyNumberFormat="1" applyFont="1" applyFill="1" applyBorder="1" applyAlignment="1">
      <alignment horizontal="center" vertical="center" wrapText="1"/>
    </xf>
    <xf numFmtId="169" fontId="32" fillId="7" borderId="54" xfId="2" applyNumberFormat="1" applyFont="1" applyFill="1" applyBorder="1" applyAlignment="1">
      <alignment horizontal="center" vertical="center" wrapText="1"/>
    </xf>
    <xf numFmtId="169" fontId="32" fillId="7" borderId="2" xfId="2" applyNumberFormat="1" applyFont="1" applyFill="1" applyBorder="1" applyAlignment="1">
      <alignment horizontal="center" vertical="center" wrapText="1"/>
    </xf>
    <xf numFmtId="184" fontId="3" fillId="0" borderId="10" xfId="0" applyNumberFormat="1" applyFont="1" applyFill="1" applyBorder="1" applyAlignment="1" applyProtection="1">
      <alignment horizontal="left" vertical="center"/>
      <protection locked="0"/>
    </xf>
    <xf numFmtId="184" fontId="3" fillId="0" borderId="4" xfId="0" applyNumberFormat="1" applyFont="1" applyFill="1" applyBorder="1" applyAlignment="1" applyProtection="1">
      <alignment horizontal="left" vertical="center"/>
      <protection locked="0"/>
    </xf>
    <xf numFmtId="38" fontId="3" fillId="0" borderId="10" xfId="0" applyFont="1" applyFill="1" applyBorder="1" applyAlignment="1" applyProtection="1">
      <alignment horizontal="left" vertical="center"/>
      <protection locked="0"/>
    </xf>
    <xf numFmtId="38" fontId="3" fillId="0" borderId="4" xfId="0" applyFont="1" applyFill="1" applyBorder="1" applyAlignment="1" applyProtection="1">
      <alignment horizontal="left" vertical="center"/>
      <protection locked="0"/>
    </xf>
    <xf numFmtId="38" fontId="3" fillId="4" borderId="10" xfId="0" applyFont="1" applyFill="1" applyBorder="1" applyAlignment="1">
      <alignment horizontal="center"/>
    </xf>
    <xf numFmtId="38" fontId="3" fillId="4" borderId="4" xfId="0" applyFont="1" applyFill="1" applyBorder="1" applyAlignment="1">
      <alignment horizontal="center"/>
    </xf>
    <xf numFmtId="195" fontId="44" fillId="4" borderId="10" xfId="2" applyNumberFormat="1" applyFont="1" applyFill="1" applyBorder="1" applyAlignment="1">
      <alignment horizontal="center"/>
    </xf>
    <xf numFmtId="195" fontId="44" fillId="4" borderId="4" xfId="2" applyNumberFormat="1" applyFont="1" applyFill="1" applyBorder="1" applyAlignment="1">
      <alignment horizontal="center"/>
    </xf>
    <xf numFmtId="38" fontId="32" fillId="4" borderId="10" xfId="0" applyFont="1" applyFill="1" applyBorder="1" applyAlignment="1">
      <alignment horizontal="center"/>
    </xf>
    <xf numFmtId="38" fontId="32" fillId="4" borderId="4" xfId="0" applyFont="1" applyFill="1" applyBorder="1" applyAlignment="1">
      <alignment horizontal="center"/>
    </xf>
    <xf numFmtId="169" fontId="32" fillId="7" borderId="76" xfId="2" applyNumberFormat="1" applyFont="1" applyFill="1" applyBorder="1" applyAlignment="1">
      <alignment horizontal="center" vertical="center" wrapText="1"/>
    </xf>
    <xf numFmtId="169" fontId="32" fillId="7" borderId="65" xfId="2" applyNumberFormat="1" applyFont="1" applyFill="1" applyBorder="1" applyAlignment="1">
      <alignment horizontal="center" vertical="center" wrapText="1"/>
    </xf>
    <xf numFmtId="38" fontId="0" fillId="0" borderId="10" xfId="0" applyBorder="1" applyAlignment="1">
      <alignment horizontal="center"/>
    </xf>
    <xf numFmtId="38" fontId="0" fillId="0" borderId="4" xfId="0" applyBorder="1" applyAlignment="1">
      <alignment horizontal="center"/>
    </xf>
    <xf numFmtId="38" fontId="34" fillId="4" borderId="9" xfId="0" applyFont="1" applyFill="1" applyBorder="1" applyAlignment="1">
      <alignment horizontal="center" vertical="center"/>
    </xf>
    <xf numFmtId="174" fontId="3" fillId="4" borderId="30" xfId="0" applyNumberFormat="1" applyFont="1" applyFill="1" applyBorder="1" applyAlignment="1">
      <alignment horizontal="left" vertical="center" wrapText="1"/>
    </xf>
    <xf numFmtId="174" fontId="3" fillId="4" borderId="10" xfId="0" applyNumberFormat="1" applyFont="1" applyFill="1" applyBorder="1" applyAlignment="1">
      <alignment horizontal="left" vertical="center" wrapText="1"/>
    </xf>
    <xf numFmtId="0" fontId="3" fillId="4" borderId="10" xfId="2" applyFill="1" applyBorder="1" applyAlignment="1">
      <alignment horizontal="center"/>
    </xf>
    <xf numFmtId="0" fontId="3" fillId="4" borderId="4" xfId="2" applyFill="1" applyBorder="1" applyAlignment="1">
      <alignment horizontal="center"/>
    </xf>
    <xf numFmtId="184" fontId="3" fillId="4" borderId="10" xfId="0" applyNumberFormat="1" applyFont="1" applyFill="1" applyBorder="1" applyAlignment="1">
      <alignment horizontal="left" vertical="center"/>
    </xf>
    <xf numFmtId="184" fontId="3" fillId="4" borderId="4" xfId="0" applyNumberFormat="1" applyFont="1" applyFill="1" applyBorder="1" applyAlignment="1">
      <alignment horizontal="left" vertical="center"/>
    </xf>
  </cellXfs>
  <cellStyles count="15">
    <cellStyle name="Euro" xfId="11"/>
    <cellStyle name="Millares" xfId="1" builtinId="3"/>
    <cellStyle name="Millares 2" xfId="8"/>
    <cellStyle name="Millares 3" xfId="6"/>
    <cellStyle name="Normal" xfId="0" builtinId="0"/>
    <cellStyle name="Normal 2" xfId="4"/>
    <cellStyle name="Normal 3" xfId="5"/>
    <cellStyle name="Normal 4" xfId="10"/>
    <cellStyle name="Normal 5" xfId="12"/>
    <cellStyle name="Normal 6" xfId="13"/>
    <cellStyle name="Normal_X Cuadro de salida 1" xfId="2"/>
    <cellStyle name="Percent 2" xfId="14"/>
    <cellStyle name="Porcentaje" xfId="3" builtinId="5"/>
    <cellStyle name="Porcentaje 2" xfId="9"/>
    <cellStyle name="Porcentaje 3" xfId="7"/>
  </cellStyles>
  <dxfs count="0"/>
  <tableStyles count="0" defaultTableStyle="TableStyleMedium9" defaultPivotStyle="PivotStyleLight16"/>
  <colors>
    <mruColors>
      <color rgb="FFCCFFCC"/>
      <color rgb="FFCCFFFF"/>
      <color rgb="FF99FF66"/>
      <color rgb="FFFFCC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rgbClr val="FF0000"/>
                </a:solidFill>
              </a:rPr>
              <a:t>Valor Presente Neto a 5 años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'19 Resumen'!$D$73</c:f>
              <c:strCache>
                <c:ptCount val="1"/>
                <c:pt idx="0">
                  <c:v>Socios   Financiera 5 años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'19 Resumen'!$C$57:$C$72</c:f>
              <c:numCache>
                <c:formatCode>0.0%</c:formatCode>
                <c:ptCount val="16"/>
                <c:pt idx="0">
                  <c:v>0.05</c:v>
                </c:pt>
                <c:pt idx="1">
                  <c:v>6.0000000000000005E-2</c:v>
                </c:pt>
                <c:pt idx="2">
                  <c:v>7.0000000000000007E-2</c:v>
                </c:pt>
                <c:pt idx="3">
                  <c:v>0.08</c:v>
                </c:pt>
                <c:pt idx="4">
                  <c:v>0.09</c:v>
                </c:pt>
                <c:pt idx="5">
                  <c:v>9.9999999999999992E-2</c:v>
                </c:pt>
                <c:pt idx="6">
                  <c:v>0.10999999999999999</c:v>
                </c:pt>
                <c:pt idx="7">
                  <c:v>0.11999999999999998</c:v>
                </c:pt>
                <c:pt idx="8">
                  <c:v>0.12999999999999998</c:v>
                </c:pt>
                <c:pt idx="9">
                  <c:v>0.13999999999999999</c:v>
                </c:pt>
                <c:pt idx="10">
                  <c:v>0.15</c:v>
                </c:pt>
                <c:pt idx="11">
                  <c:v>0.16</c:v>
                </c:pt>
                <c:pt idx="12">
                  <c:v>0.17</c:v>
                </c:pt>
                <c:pt idx="13">
                  <c:v>0.18000000000000002</c:v>
                </c:pt>
                <c:pt idx="14">
                  <c:v>0.19000000000000003</c:v>
                </c:pt>
                <c:pt idx="15">
                  <c:v>0.20000000000000004</c:v>
                </c:pt>
              </c:numCache>
            </c:numRef>
          </c:cat>
          <c:val>
            <c:numRef>
              <c:f>'19 Resumen'!$D$57:$D$72</c:f>
              <c:numCache>
                <c:formatCode>_-* #,##0\ _P_t_s_-;\-* #,##0\ _P_t_s_-;_-* "-"??\ _P_t_s_-;_-@_-</c:formatCode>
                <c:ptCount val="16"/>
                <c:pt idx="0">
                  <c:v>14961101.182149373</c:v>
                </c:pt>
                <c:pt idx="1">
                  <c:v>14417764.433032133</c:v>
                </c:pt>
                <c:pt idx="2">
                  <c:v>13899258.894385954</c:v>
                </c:pt>
                <c:pt idx="3">
                  <c:v>13404181.560218485</c:v>
                </c:pt>
                <c:pt idx="4">
                  <c:v>12931222.374884816</c:v>
                </c:pt>
                <c:pt idx="5">
                  <c:v>12479157.221811101</c:v>
                </c:pt>
                <c:pt idx="6">
                  <c:v>12046841.502741834</c:v>
                </c:pt>
                <c:pt idx="7">
                  <c:v>11633204.252754567</c:v>
                </c:pt>
                <c:pt idx="8">
                  <c:v>11237242.741815493</c:v>
                </c:pt>
                <c:pt idx="9">
                  <c:v>10858017.51857537</c:v>
                </c:pt>
                <c:pt idx="10">
                  <c:v>10494647.85649983</c:v>
                </c:pt>
                <c:pt idx="11">
                  <c:v>10146307.566351233</c:v>
                </c:pt>
                <c:pt idx="12">
                  <c:v>9812221.1425461248</c:v>
                </c:pt>
                <c:pt idx="13">
                  <c:v>9491660.214049926</c:v>
                </c:pt>
                <c:pt idx="14">
                  <c:v>9183940.2732805796</c:v>
                </c:pt>
                <c:pt idx="15">
                  <c:v>8888417.6590121239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46D-4308-92B7-6ADD08BDB058}"/>
            </c:ext>
          </c:extLst>
        </c:ser>
        <c:ser>
          <c:idx val="1"/>
          <c:order val="1"/>
          <c:tx>
            <c:strRef>
              <c:f>'19 Resumen'!$E$73</c:f>
              <c:strCache>
                <c:ptCount val="1"/>
                <c:pt idx="0">
                  <c:v>Socios -Creditos   Financiera 5 años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'19 Resumen'!$C$57:$C$72</c:f>
              <c:numCache>
                <c:formatCode>0.0%</c:formatCode>
                <c:ptCount val="16"/>
                <c:pt idx="0">
                  <c:v>0.05</c:v>
                </c:pt>
                <c:pt idx="1">
                  <c:v>6.0000000000000005E-2</c:v>
                </c:pt>
                <c:pt idx="2">
                  <c:v>7.0000000000000007E-2</c:v>
                </c:pt>
                <c:pt idx="3">
                  <c:v>0.08</c:v>
                </c:pt>
                <c:pt idx="4">
                  <c:v>0.09</c:v>
                </c:pt>
                <c:pt idx="5">
                  <c:v>9.9999999999999992E-2</c:v>
                </c:pt>
                <c:pt idx="6">
                  <c:v>0.10999999999999999</c:v>
                </c:pt>
                <c:pt idx="7">
                  <c:v>0.11999999999999998</c:v>
                </c:pt>
                <c:pt idx="8">
                  <c:v>0.12999999999999998</c:v>
                </c:pt>
                <c:pt idx="9">
                  <c:v>0.13999999999999999</c:v>
                </c:pt>
                <c:pt idx="10">
                  <c:v>0.15</c:v>
                </c:pt>
                <c:pt idx="11">
                  <c:v>0.16</c:v>
                </c:pt>
                <c:pt idx="12">
                  <c:v>0.17</c:v>
                </c:pt>
                <c:pt idx="13">
                  <c:v>0.18000000000000002</c:v>
                </c:pt>
                <c:pt idx="14">
                  <c:v>0.19000000000000003</c:v>
                </c:pt>
                <c:pt idx="15">
                  <c:v>0.20000000000000004</c:v>
                </c:pt>
              </c:numCache>
            </c:numRef>
          </c:cat>
          <c:val>
            <c:numRef>
              <c:f>'19 Resumen'!$E$57:$E$72</c:f>
              <c:numCache>
                <c:formatCode>#,##0_ ;[Red]\-#,##0\ </c:formatCode>
                <c:ptCount val="16"/>
                <c:pt idx="0">
                  <c:v>14811101.182149373</c:v>
                </c:pt>
                <c:pt idx="1">
                  <c:v>14267764.433032133</c:v>
                </c:pt>
                <c:pt idx="2">
                  <c:v>13749258.894385954</c:v>
                </c:pt>
                <c:pt idx="3">
                  <c:v>13254181.560218485</c:v>
                </c:pt>
                <c:pt idx="4">
                  <c:v>12781222.374884816</c:v>
                </c:pt>
                <c:pt idx="5">
                  <c:v>12329157.221811101</c:v>
                </c:pt>
                <c:pt idx="6">
                  <c:v>11896841.502741834</c:v>
                </c:pt>
                <c:pt idx="7">
                  <c:v>11483204.252754567</c:v>
                </c:pt>
                <c:pt idx="8">
                  <c:v>11087242.741815493</c:v>
                </c:pt>
                <c:pt idx="9">
                  <c:v>10708017.51857537</c:v>
                </c:pt>
                <c:pt idx="10">
                  <c:v>10344647.85649983</c:v>
                </c:pt>
                <c:pt idx="11">
                  <c:v>9996307.5663512331</c:v>
                </c:pt>
                <c:pt idx="12">
                  <c:v>9662221.1425461248</c:v>
                </c:pt>
                <c:pt idx="13">
                  <c:v>9341660.214049926</c:v>
                </c:pt>
                <c:pt idx="14">
                  <c:v>9033940.2732805796</c:v>
                </c:pt>
                <c:pt idx="15">
                  <c:v>8738417.6590121239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46D-4308-92B7-6ADD08BDB058}"/>
            </c:ext>
          </c:extLst>
        </c:ser>
        <c:ser>
          <c:idx val="2"/>
          <c:order val="2"/>
          <c:tx>
            <c:strRef>
              <c:f>'19 Resumen'!$F$73</c:f>
              <c:strCache>
                <c:ptCount val="1"/>
                <c:pt idx="0">
                  <c:v>Socios   Económica 5 años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'19 Resumen'!$C$57:$C$72</c:f>
              <c:numCache>
                <c:formatCode>0.0%</c:formatCode>
                <c:ptCount val="16"/>
                <c:pt idx="0">
                  <c:v>0.05</c:v>
                </c:pt>
                <c:pt idx="1">
                  <c:v>6.0000000000000005E-2</c:v>
                </c:pt>
                <c:pt idx="2">
                  <c:v>7.0000000000000007E-2</c:v>
                </c:pt>
                <c:pt idx="3">
                  <c:v>0.08</c:v>
                </c:pt>
                <c:pt idx="4">
                  <c:v>0.09</c:v>
                </c:pt>
                <c:pt idx="5">
                  <c:v>9.9999999999999992E-2</c:v>
                </c:pt>
                <c:pt idx="6">
                  <c:v>0.10999999999999999</c:v>
                </c:pt>
                <c:pt idx="7">
                  <c:v>0.11999999999999998</c:v>
                </c:pt>
                <c:pt idx="8">
                  <c:v>0.12999999999999998</c:v>
                </c:pt>
                <c:pt idx="9">
                  <c:v>0.13999999999999999</c:v>
                </c:pt>
                <c:pt idx="10">
                  <c:v>0.15</c:v>
                </c:pt>
                <c:pt idx="11">
                  <c:v>0.16</c:v>
                </c:pt>
                <c:pt idx="12">
                  <c:v>0.17</c:v>
                </c:pt>
                <c:pt idx="13">
                  <c:v>0.18000000000000002</c:v>
                </c:pt>
                <c:pt idx="14">
                  <c:v>0.19000000000000003</c:v>
                </c:pt>
                <c:pt idx="15">
                  <c:v>0.20000000000000004</c:v>
                </c:pt>
              </c:numCache>
            </c:numRef>
          </c:cat>
          <c:val>
            <c:numRef>
              <c:f>'19 Resumen'!$F$57:$F$72</c:f>
              <c:numCache>
                <c:formatCode>_-* #,##0\ _P_t_s_-;\-* #,##0\ _P_t_s_-;_-* "-"??\ _P_t_s_-;_-@_-</c:formatCode>
                <c:ptCount val="16"/>
                <c:pt idx="0">
                  <c:v>17554399.382214304</c:v>
                </c:pt>
                <c:pt idx="1">
                  <c:v>16947284.234843403</c:v>
                </c:pt>
                <c:pt idx="2">
                  <c:v>16367217.896135051</c:v>
                </c:pt>
                <c:pt idx="3">
                  <c:v>15812695.185429119</c:v>
                </c:pt>
                <c:pt idx="4">
                  <c:v>15282309.723380502</c:v>
                </c:pt>
                <c:pt idx="5">
                  <c:v>14774746.522823598</c:v>
                </c:pt>
                <c:pt idx="6">
                  <c:v>14288775.201267408</c:v>
                </c:pt>
                <c:pt idx="7">
                  <c:v>13823243.757532462</c:v>
                </c:pt>
                <c:pt idx="8">
                  <c:v>13377072.86083561</c:v>
                </c:pt>
                <c:pt idx="9">
                  <c:v>12949250.605791874</c:v>
                </c:pt>
                <c:pt idx="10">
                  <c:v>12538827.691409238</c:v>
                </c:pt>
                <c:pt idx="11">
                  <c:v>12144912.986265775</c:v>
                </c:pt>
                <c:pt idx="12">
                  <c:v>11766669.445735808</c:v>
                </c:pt>
                <c:pt idx="13">
                  <c:v>11403310.350422809</c:v>
                </c:pt>
                <c:pt idx="14">
                  <c:v>11054095.837904448</c:v>
                </c:pt>
                <c:pt idx="15">
                  <c:v>10718329.702538576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46D-4308-92B7-6ADD08BDB058}"/>
            </c:ext>
          </c:extLst>
        </c:ser>
        <c:ser>
          <c:idx val="3"/>
          <c:order val="3"/>
          <c:tx>
            <c:strRef>
              <c:f>'19 Resumen'!$G$73</c:f>
              <c:strCache>
                <c:ptCount val="1"/>
                <c:pt idx="0">
                  <c:v>Socios -Creditos   Económica 5 años 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'19 Resumen'!$C$57:$C$72</c:f>
              <c:numCache>
                <c:formatCode>0.0%</c:formatCode>
                <c:ptCount val="16"/>
                <c:pt idx="0">
                  <c:v>0.05</c:v>
                </c:pt>
                <c:pt idx="1">
                  <c:v>6.0000000000000005E-2</c:v>
                </c:pt>
                <c:pt idx="2">
                  <c:v>7.0000000000000007E-2</c:v>
                </c:pt>
                <c:pt idx="3">
                  <c:v>0.08</c:v>
                </c:pt>
                <c:pt idx="4">
                  <c:v>0.09</c:v>
                </c:pt>
                <c:pt idx="5">
                  <c:v>9.9999999999999992E-2</c:v>
                </c:pt>
                <c:pt idx="6">
                  <c:v>0.10999999999999999</c:v>
                </c:pt>
                <c:pt idx="7">
                  <c:v>0.11999999999999998</c:v>
                </c:pt>
                <c:pt idx="8">
                  <c:v>0.12999999999999998</c:v>
                </c:pt>
                <c:pt idx="9">
                  <c:v>0.13999999999999999</c:v>
                </c:pt>
                <c:pt idx="10">
                  <c:v>0.15</c:v>
                </c:pt>
                <c:pt idx="11">
                  <c:v>0.16</c:v>
                </c:pt>
                <c:pt idx="12">
                  <c:v>0.17</c:v>
                </c:pt>
                <c:pt idx="13">
                  <c:v>0.18000000000000002</c:v>
                </c:pt>
                <c:pt idx="14">
                  <c:v>0.19000000000000003</c:v>
                </c:pt>
                <c:pt idx="15">
                  <c:v>0.20000000000000004</c:v>
                </c:pt>
              </c:numCache>
            </c:numRef>
          </c:cat>
          <c:val>
            <c:numRef>
              <c:f>'19 Resumen'!$G$57:$G$72</c:f>
              <c:numCache>
                <c:formatCode>_-* #,##0\ _P_t_s_-;\-* #,##0\ _P_t_s_-;_-* "-"??\ _P_t_s_-;_-@_-</c:formatCode>
                <c:ptCount val="16"/>
                <c:pt idx="0">
                  <c:v>17404399.382214304</c:v>
                </c:pt>
                <c:pt idx="1">
                  <c:v>16797284.234843403</c:v>
                </c:pt>
                <c:pt idx="2">
                  <c:v>16217217.896135051</c:v>
                </c:pt>
                <c:pt idx="3">
                  <c:v>15662695.185429119</c:v>
                </c:pt>
                <c:pt idx="4">
                  <c:v>15132309.723380502</c:v>
                </c:pt>
                <c:pt idx="5">
                  <c:v>14624746.522823598</c:v>
                </c:pt>
                <c:pt idx="6">
                  <c:v>14138775.201267408</c:v>
                </c:pt>
                <c:pt idx="7">
                  <c:v>13673243.757532462</c:v>
                </c:pt>
                <c:pt idx="8">
                  <c:v>13227072.86083561</c:v>
                </c:pt>
                <c:pt idx="9">
                  <c:v>12799250.605791874</c:v>
                </c:pt>
                <c:pt idx="10">
                  <c:v>12388827.691409238</c:v>
                </c:pt>
                <c:pt idx="11">
                  <c:v>11994912.986265775</c:v>
                </c:pt>
                <c:pt idx="12">
                  <c:v>11616669.445735808</c:v>
                </c:pt>
                <c:pt idx="13">
                  <c:v>11253310.350422809</c:v>
                </c:pt>
                <c:pt idx="14">
                  <c:v>10904095.837904448</c:v>
                </c:pt>
                <c:pt idx="15">
                  <c:v>10568329.702538576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46D-4308-92B7-6ADD08BDB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6285144"/>
        <c:axId val="376285536"/>
      </c:lineChart>
      <c:catAx>
        <c:axId val="376285144"/>
        <c:scaling>
          <c:orientation val="minMax"/>
        </c:scaling>
        <c:delete val="0"/>
        <c:axPos val="b"/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376285536"/>
        <c:crosses val="autoZero"/>
        <c:auto val="1"/>
        <c:lblAlgn val="ctr"/>
        <c:lblOffset val="100"/>
        <c:noMultiLvlLbl val="0"/>
      </c:catAx>
      <c:valAx>
        <c:axId val="3762855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\ _P_t_s_-;\-* #,##0\ _P_t_s_-;_-* &quot;-&quot;??\ _P_t_s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376285144"/>
        <c:crosses val="autoZero"/>
        <c:crossBetween val="between"/>
      </c:valAx>
      <c:spPr>
        <a:noFill/>
        <a:ln>
          <a:solidFill>
            <a:sysClr val="windowText" lastClr="000000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MX" b="1">
                <a:solidFill>
                  <a:srgbClr val="FF0000"/>
                </a:solidFill>
              </a:rPr>
              <a:t>Valor</a:t>
            </a:r>
            <a:r>
              <a:rPr lang="es-MX" b="1" baseline="0">
                <a:solidFill>
                  <a:srgbClr val="FF0000"/>
                </a:solidFill>
              </a:rPr>
              <a:t> Presente Neto a 10 años </a:t>
            </a:r>
            <a:endParaRPr lang="es-MX" b="1">
              <a:solidFill>
                <a:srgbClr val="FF0000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'19 Resumen'!$H$73</c:f>
              <c:strCache>
                <c:ptCount val="1"/>
                <c:pt idx="0">
                  <c:v>Socios   Financiera 10 años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'19 Resumen'!$C$57:$C$72</c:f>
              <c:numCache>
                <c:formatCode>0.0%</c:formatCode>
                <c:ptCount val="16"/>
                <c:pt idx="0">
                  <c:v>0.05</c:v>
                </c:pt>
                <c:pt idx="1">
                  <c:v>6.0000000000000005E-2</c:v>
                </c:pt>
                <c:pt idx="2">
                  <c:v>7.0000000000000007E-2</c:v>
                </c:pt>
                <c:pt idx="3">
                  <c:v>0.08</c:v>
                </c:pt>
                <c:pt idx="4">
                  <c:v>0.09</c:v>
                </c:pt>
                <c:pt idx="5">
                  <c:v>9.9999999999999992E-2</c:v>
                </c:pt>
                <c:pt idx="6">
                  <c:v>0.10999999999999999</c:v>
                </c:pt>
                <c:pt idx="7">
                  <c:v>0.11999999999999998</c:v>
                </c:pt>
                <c:pt idx="8">
                  <c:v>0.12999999999999998</c:v>
                </c:pt>
                <c:pt idx="9">
                  <c:v>0.13999999999999999</c:v>
                </c:pt>
                <c:pt idx="10">
                  <c:v>0.15</c:v>
                </c:pt>
                <c:pt idx="11">
                  <c:v>0.16</c:v>
                </c:pt>
                <c:pt idx="12">
                  <c:v>0.17</c:v>
                </c:pt>
                <c:pt idx="13">
                  <c:v>0.18000000000000002</c:v>
                </c:pt>
                <c:pt idx="14">
                  <c:v>0.19000000000000003</c:v>
                </c:pt>
                <c:pt idx="15">
                  <c:v>0.20000000000000004</c:v>
                </c:pt>
              </c:numCache>
            </c:numRef>
          </c:cat>
          <c:val>
            <c:numRef>
              <c:f>'19 Resumen'!$H$57:$H$72</c:f>
              <c:numCache>
                <c:formatCode>_-* #,##0\ _P_t_s_-;\-* #,##0\ _P_t_s_-;_-* "-"??\ _P_t_s_-;_-@_-</c:formatCode>
                <c:ptCount val="16"/>
                <c:pt idx="0">
                  <c:v>43484481.882699467</c:v>
                </c:pt>
                <c:pt idx="1">
                  <c:v>40824881.836852603</c:v>
                </c:pt>
                <c:pt idx="2">
                  <c:v>38369069.997120604</c:v>
                </c:pt>
                <c:pt idx="3">
                  <c:v>36098755.687423848</c:v>
                </c:pt>
                <c:pt idx="4">
                  <c:v>33997492.365071036</c:v>
                </c:pt>
                <c:pt idx="5">
                  <c:v>32050473.384880088</c:v>
                </c:pt>
                <c:pt idx="6">
                  <c:v>30244352.25944059</c:v>
                </c:pt>
                <c:pt idx="7">
                  <c:v>28567084.264924586</c:v>
                </c:pt>
                <c:pt idx="8">
                  <c:v>27007786.673176397</c:v>
                </c:pt>
                <c:pt idx="9">
                  <c:v>25556615.259644769</c:v>
                </c:pt>
                <c:pt idx="10">
                  <c:v>24204655.052601632</c:v>
                </c:pt>
                <c:pt idx="11">
                  <c:v>22943823.560026173</c:v>
                </c:pt>
                <c:pt idx="12">
                  <c:v>21766784.94326188</c:v>
                </c:pt>
                <c:pt idx="13">
                  <c:v>20666873.806753859</c:v>
                </c:pt>
                <c:pt idx="14">
                  <c:v>19638027.445637353</c:v>
                </c:pt>
                <c:pt idx="15">
                  <c:v>18674725.541726481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F88-4652-B500-FFDBD1426A7E}"/>
            </c:ext>
          </c:extLst>
        </c:ser>
        <c:ser>
          <c:idx val="1"/>
          <c:order val="1"/>
          <c:tx>
            <c:strRef>
              <c:f>'19 Resumen'!$I$73</c:f>
              <c:strCache>
                <c:ptCount val="1"/>
                <c:pt idx="0">
                  <c:v>Socios -Creditos   Financiera 10 años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'19 Resumen'!$C$57:$C$72</c:f>
              <c:numCache>
                <c:formatCode>0.0%</c:formatCode>
                <c:ptCount val="16"/>
                <c:pt idx="0">
                  <c:v>0.05</c:v>
                </c:pt>
                <c:pt idx="1">
                  <c:v>6.0000000000000005E-2</c:v>
                </c:pt>
                <c:pt idx="2">
                  <c:v>7.0000000000000007E-2</c:v>
                </c:pt>
                <c:pt idx="3">
                  <c:v>0.08</c:v>
                </c:pt>
                <c:pt idx="4">
                  <c:v>0.09</c:v>
                </c:pt>
                <c:pt idx="5">
                  <c:v>9.9999999999999992E-2</c:v>
                </c:pt>
                <c:pt idx="6">
                  <c:v>0.10999999999999999</c:v>
                </c:pt>
                <c:pt idx="7">
                  <c:v>0.11999999999999998</c:v>
                </c:pt>
                <c:pt idx="8">
                  <c:v>0.12999999999999998</c:v>
                </c:pt>
                <c:pt idx="9">
                  <c:v>0.13999999999999999</c:v>
                </c:pt>
                <c:pt idx="10">
                  <c:v>0.15</c:v>
                </c:pt>
                <c:pt idx="11">
                  <c:v>0.16</c:v>
                </c:pt>
                <c:pt idx="12">
                  <c:v>0.17</c:v>
                </c:pt>
                <c:pt idx="13">
                  <c:v>0.18000000000000002</c:v>
                </c:pt>
                <c:pt idx="14">
                  <c:v>0.19000000000000003</c:v>
                </c:pt>
                <c:pt idx="15">
                  <c:v>0.20000000000000004</c:v>
                </c:pt>
              </c:numCache>
            </c:numRef>
          </c:cat>
          <c:val>
            <c:numRef>
              <c:f>'19 Resumen'!$I$57:$I$72</c:f>
              <c:numCache>
                <c:formatCode>#,##0_ ;[Red]\-#,##0\ </c:formatCode>
                <c:ptCount val="16"/>
                <c:pt idx="0">
                  <c:v>43334481.882699467</c:v>
                </c:pt>
                <c:pt idx="1">
                  <c:v>40674881.836852603</c:v>
                </c:pt>
                <c:pt idx="2">
                  <c:v>38219069.997120604</c:v>
                </c:pt>
                <c:pt idx="3">
                  <c:v>35948755.687423848</c:v>
                </c:pt>
                <c:pt idx="4">
                  <c:v>33847492.365071036</c:v>
                </c:pt>
                <c:pt idx="5">
                  <c:v>31900473.384880088</c:v>
                </c:pt>
                <c:pt idx="6">
                  <c:v>30094352.25944059</c:v>
                </c:pt>
                <c:pt idx="7">
                  <c:v>28417084.264924586</c:v>
                </c:pt>
                <c:pt idx="8">
                  <c:v>26857786.673176397</c:v>
                </c:pt>
                <c:pt idx="9">
                  <c:v>25406615.259644769</c:v>
                </c:pt>
                <c:pt idx="10">
                  <c:v>24054655.052601632</c:v>
                </c:pt>
                <c:pt idx="11">
                  <c:v>22793823.560026173</c:v>
                </c:pt>
                <c:pt idx="12">
                  <c:v>21616784.94326188</c:v>
                </c:pt>
                <c:pt idx="13">
                  <c:v>20516873.806753859</c:v>
                </c:pt>
                <c:pt idx="14">
                  <c:v>19488027.445637353</c:v>
                </c:pt>
                <c:pt idx="15">
                  <c:v>18524725.541726481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F88-4652-B500-FFDBD1426A7E}"/>
            </c:ext>
          </c:extLst>
        </c:ser>
        <c:ser>
          <c:idx val="2"/>
          <c:order val="2"/>
          <c:tx>
            <c:strRef>
              <c:f>'19 Resumen'!$J$73</c:f>
              <c:strCache>
                <c:ptCount val="1"/>
                <c:pt idx="0">
                  <c:v>Socios   Económica 10 años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'19 Resumen'!$C$57:$C$72</c:f>
              <c:numCache>
                <c:formatCode>0.0%</c:formatCode>
                <c:ptCount val="16"/>
                <c:pt idx="0">
                  <c:v>0.05</c:v>
                </c:pt>
                <c:pt idx="1">
                  <c:v>6.0000000000000005E-2</c:v>
                </c:pt>
                <c:pt idx="2">
                  <c:v>7.0000000000000007E-2</c:v>
                </c:pt>
                <c:pt idx="3">
                  <c:v>0.08</c:v>
                </c:pt>
                <c:pt idx="4">
                  <c:v>0.09</c:v>
                </c:pt>
                <c:pt idx="5">
                  <c:v>9.9999999999999992E-2</c:v>
                </c:pt>
                <c:pt idx="6">
                  <c:v>0.10999999999999999</c:v>
                </c:pt>
                <c:pt idx="7">
                  <c:v>0.11999999999999998</c:v>
                </c:pt>
                <c:pt idx="8">
                  <c:v>0.12999999999999998</c:v>
                </c:pt>
                <c:pt idx="9">
                  <c:v>0.13999999999999999</c:v>
                </c:pt>
                <c:pt idx="10">
                  <c:v>0.15</c:v>
                </c:pt>
                <c:pt idx="11">
                  <c:v>0.16</c:v>
                </c:pt>
                <c:pt idx="12">
                  <c:v>0.17</c:v>
                </c:pt>
                <c:pt idx="13">
                  <c:v>0.18000000000000002</c:v>
                </c:pt>
                <c:pt idx="14">
                  <c:v>0.19000000000000003</c:v>
                </c:pt>
                <c:pt idx="15">
                  <c:v>0.20000000000000004</c:v>
                </c:pt>
              </c:numCache>
            </c:numRef>
          </c:cat>
          <c:val>
            <c:numRef>
              <c:f>'19 Resumen'!$J$57:$J$72</c:f>
              <c:numCache>
                <c:formatCode>_-* #,##0\ _P_t_s_-;\-* #,##0\ _P_t_s_-;_-* "-"??\ _P_t_s_-;_-@_-</c:formatCode>
                <c:ptCount val="16"/>
                <c:pt idx="0">
                  <c:v>47321688.301164262</c:v>
                </c:pt>
                <c:pt idx="1">
                  <c:v>44511653.570850678</c:v>
                </c:pt>
                <c:pt idx="2">
                  <c:v>41914527.948565945</c:v>
                </c:pt>
                <c:pt idx="3">
                  <c:v>39511300.650118642</c:v>
                </c:pt>
                <c:pt idx="4">
                  <c:v>37284872.150843613</c:v>
                </c:pt>
                <c:pt idx="5">
                  <c:v>35219842.899230294</c:v>
                </c:pt>
                <c:pt idx="6">
                  <c:v>33302327.340902068</c:v>
                </c:pt>
                <c:pt idx="7">
                  <c:v>31519790.000495382</c:v>
                </c:pt>
                <c:pt idx="8">
                  <c:v>29860900.813975453</c:v>
                </c:pt>
                <c:pt idx="9">
                  <c:v>28315407.28447099</c:v>
                </c:pt>
                <c:pt idx="10">
                  <c:v>26874021.360649183</c:v>
                </c:pt>
                <c:pt idx="11">
                  <c:v>25528319.21623515</c:v>
                </c:pt>
                <c:pt idx="12">
                  <c:v>24270652.349458233</c:v>
                </c:pt>
                <c:pt idx="13">
                  <c:v>23094068.627833348</c:v>
                </c:pt>
                <c:pt idx="14">
                  <c:v>21992242.081700154</c:v>
                </c:pt>
                <c:pt idx="15">
                  <c:v>20959410.40352378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F88-4652-B500-FFDBD1426A7E}"/>
            </c:ext>
          </c:extLst>
        </c:ser>
        <c:ser>
          <c:idx val="3"/>
          <c:order val="3"/>
          <c:tx>
            <c:strRef>
              <c:f>'19 Resumen'!$K$73</c:f>
              <c:strCache>
                <c:ptCount val="1"/>
                <c:pt idx="0">
                  <c:v>Socios -Creditos   Económica 10 años 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'19 Resumen'!$C$57:$C$72</c:f>
              <c:numCache>
                <c:formatCode>0.0%</c:formatCode>
                <c:ptCount val="16"/>
                <c:pt idx="0">
                  <c:v>0.05</c:v>
                </c:pt>
                <c:pt idx="1">
                  <c:v>6.0000000000000005E-2</c:v>
                </c:pt>
                <c:pt idx="2">
                  <c:v>7.0000000000000007E-2</c:v>
                </c:pt>
                <c:pt idx="3">
                  <c:v>0.08</c:v>
                </c:pt>
                <c:pt idx="4">
                  <c:v>0.09</c:v>
                </c:pt>
                <c:pt idx="5">
                  <c:v>9.9999999999999992E-2</c:v>
                </c:pt>
                <c:pt idx="6">
                  <c:v>0.10999999999999999</c:v>
                </c:pt>
                <c:pt idx="7">
                  <c:v>0.11999999999999998</c:v>
                </c:pt>
                <c:pt idx="8">
                  <c:v>0.12999999999999998</c:v>
                </c:pt>
                <c:pt idx="9">
                  <c:v>0.13999999999999999</c:v>
                </c:pt>
                <c:pt idx="10">
                  <c:v>0.15</c:v>
                </c:pt>
                <c:pt idx="11">
                  <c:v>0.16</c:v>
                </c:pt>
                <c:pt idx="12">
                  <c:v>0.17</c:v>
                </c:pt>
                <c:pt idx="13">
                  <c:v>0.18000000000000002</c:v>
                </c:pt>
                <c:pt idx="14">
                  <c:v>0.19000000000000003</c:v>
                </c:pt>
                <c:pt idx="15">
                  <c:v>0.20000000000000004</c:v>
                </c:pt>
              </c:numCache>
            </c:numRef>
          </c:cat>
          <c:val>
            <c:numRef>
              <c:f>'19 Resumen'!$K$57:$K$72</c:f>
              <c:numCache>
                <c:formatCode>_-* #,##0\ _P_t_s_-;\-* #,##0\ _P_t_s_-;_-* "-"??\ _P_t_s_-;_-@_-</c:formatCode>
                <c:ptCount val="16"/>
                <c:pt idx="0">
                  <c:v>47171688.301164262</c:v>
                </c:pt>
                <c:pt idx="1">
                  <c:v>44361653.570850678</c:v>
                </c:pt>
                <c:pt idx="2">
                  <c:v>41764527.948565945</c:v>
                </c:pt>
                <c:pt idx="3">
                  <c:v>39361300.650118642</c:v>
                </c:pt>
                <c:pt idx="4">
                  <c:v>37134872.150843613</c:v>
                </c:pt>
                <c:pt idx="5">
                  <c:v>35069842.899230294</c:v>
                </c:pt>
                <c:pt idx="6">
                  <c:v>33152327.340902068</c:v>
                </c:pt>
                <c:pt idx="7">
                  <c:v>31369790.000495382</c:v>
                </c:pt>
                <c:pt idx="8">
                  <c:v>29710900.813975453</c:v>
                </c:pt>
                <c:pt idx="9">
                  <c:v>28165407.28447099</c:v>
                </c:pt>
                <c:pt idx="10">
                  <c:v>26724021.360649183</c:v>
                </c:pt>
                <c:pt idx="11">
                  <c:v>25378319.21623515</c:v>
                </c:pt>
                <c:pt idx="12">
                  <c:v>24120652.349458233</c:v>
                </c:pt>
                <c:pt idx="13">
                  <c:v>22944068.627833348</c:v>
                </c:pt>
                <c:pt idx="14">
                  <c:v>21842242.081700154</c:v>
                </c:pt>
                <c:pt idx="15">
                  <c:v>20809410.40352378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F88-4652-B500-FFDBD1426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8649664"/>
        <c:axId val="70133600"/>
      </c:lineChart>
      <c:catAx>
        <c:axId val="168649664"/>
        <c:scaling>
          <c:orientation val="minMax"/>
        </c:scaling>
        <c:delete val="0"/>
        <c:axPos val="b"/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70133600"/>
        <c:crosses val="autoZero"/>
        <c:auto val="1"/>
        <c:lblAlgn val="ctr"/>
        <c:lblOffset val="100"/>
        <c:noMultiLvlLbl val="0"/>
      </c:catAx>
      <c:valAx>
        <c:axId val="70133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\ _P_t_s_-;\-* #,##0\ _P_t_s_-;_-* &quot;-&quot;??\ _P_t_s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686496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163287</xdr:colOff>
      <xdr:row>73</xdr:row>
      <xdr:rowOff>186416</xdr:rowOff>
    </xdr:from>
    <xdr:to>
      <xdr:col>6</xdr:col>
      <xdr:colOff>476250</xdr:colOff>
      <xdr:row>93</xdr:row>
      <xdr:rowOff>108856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605516</xdr:colOff>
      <xdr:row>74</xdr:row>
      <xdr:rowOff>1</xdr:rowOff>
    </xdr:from>
    <xdr:to>
      <xdr:col>12</xdr:col>
      <xdr:colOff>449036</xdr:colOff>
      <xdr:row>93</xdr:row>
      <xdr:rowOff>122464</xdr:rowOff>
    </xdr:to>
    <xdr:graphicFrame macro="">
      <xdr:nvGraphicFramePr>
        <xdr:cNvPr id="4" name="Gráfico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3.bin"/><Relationship Id="rId1" Type="http://schemas.openxmlformats.org/officeDocument/2006/relationships/printerSettings" Target="../printerSettings/printerSettings12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5.bin"/><Relationship Id="rId1" Type="http://schemas.openxmlformats.org/officeDocument/2006/relationships/printerSettings" Target="../printerSettings/printerSettings14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7.bin"/><Relationship Id="rId1" Type="http://schemas.openxmlformats.org/officeDocument/2006/relationships/printerSettings" Target="../printerSettings/printerSettings1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9.bin"/><Relationship Id="rId1" Type="http://schemas.openxmlformats.org/officeDocument/2006/relationships/printerSettings" Target="../printerSettings/printerSettings1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4.bin"/><Relationship Id="rId1" Type="http://schemas.openxmlformats.org/officeDocument/2006/relationships/printerSettings" Target="../printerSettings/printerSettings2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FF0000"/>
  </sheetPr>
  <dimension ref="A1:AP61"/>
  <sheetViews>
    <sheetView showGridLines="0" view="pageBreakPreview" zoomScale="65" zoomScaleNormal="70" zoomScaleSheetLayoutView="65" workbookViewId="0">
      <pane xSplit="3" ySplit="4" topLeftCell="R5" activePane="bottomRight" state="frozen"/>
      <selection activeCell="K44" sqref="K44"/>
      <selection pane="topRight" activeCell="K44" sqref="K44"/>
      <selection pane="bottomLeft" activeCell="K44" sqref="K44"/>
      <selection pane="bottomRight" activeCell="AD37" sqref="AD37"/>
    </sheetView>
  </sheetViews>
  <sheetFormatPr baseColWidth="10" defaultColWidth="11" defaultRowHeight="15" x14ac:dyDescent="0.3"/>
  <cols>
    <col min="1" max="1" width="4.625" style="6" customWidth="1"/>
    <col min="2" max="2" width="17.875" style="6" customWidth="1"/>
    <col min="3" max="22" width="11.75" style="6" customWidth="1"/>
    <col min="23" max="23" width="13.375" style="6" customWidth="1"/>
    <col min="24" max="26" width="11.75" style="6" customWidth="1"/>
    <col min="27" max="27" width="12.75" style="6" customWidth="1"/>
    <col min="28" max="29" width="11.75" style="6" customWidth="1"/>
    <col min="30" max="39" width="15.25" style="6" customWidth="1"/>
    <col min="40" max="16384" width="11" style="6"/>
  </cols>
  <sheetData>
    <row r="1" spans="1:40" ht="22.15" customHeight="1" thickBot="1" x14ac:dyDescent="0.35">
      <c r="A1" s="1453" t="s">
        <v>302</v>
      </c>
      <c r="B1" s="1454"/>
      <c r="C1" s="1455"/>
      <c r="D1" s="1469" t="str">
        <f>+'19 Resumen'!D4</f>
        <v>La Lasaña de Garfield</v>
      </c>
      <c r="E1" s="1470"/>
      <c r="F1" s="1470"/>
      <c r="G1" s="1470"/>
      <c r="H1" s="1470"/>
      <c r="I1" s="1470"/>
      <c r="J1" s="1470"/>
      <c r="K1" s="1470" t="str">
        <f>+'19 Resumen'!D5</f>
        <v>Martin Delgado</v>
      </c>
      <c r="L1" s="1470"/>
      <c r="M1" s="1470"/>
      <c r="N1" s="1471">
        <f>+'19 Resumen'!D2</f>
        <v>42747</v>
      </c>
      <c r="O1" s="1471"/>
      <c r="P1" s="1474"/>
      <c r="Q1" s="1469" t="str">
        <f>+D1</f>
        <v>La Lasaña de Garfield</v>
      </c>
      <c r="R1" s="1470"/>
      <c r="S1" s="1470"/>
      <c r="T1" s="1470"/>
      <c r="U1" s="1470"/>
      <c r="V1" s="1470"/>
      <c r="W1" s="1470"/>
      <c r="X1" s="1470" t="str">
        <f>+K1</f>
        <v>Martin Delgado</v>
      </c>
      <c r="Y1" s="1470"/>
      <c r="Z1" s="1470"/>
      <c r="AA1" s="1471">
        <f>+N1</f>
        <v>42747</v>
      </c>
      <c r="AB1" s="1471"/>
      <c r="AC1" s="1472"/>
      <c r="AD1" s="1473" t="str">
        <f>+Q1</f>
        <v>La Lasaña de Garfield</v>
      </c>
      <c r="AE1" s="1459"/>
      <c r="AF1" s="1459"/>
      <c r="AG1" s="1459"/>
      <c r="AH1" s="1459" t="str">
        <f>+X1</f>
        <v>Martin Delgado</v>
      </c>
      <c r="AI1" s="1459"/>
      <c r="AJ1" s="1459"/>
      <c r="AK1" s="1460">
        <f>+AA1</f>
        <v>42747</v>
      </c>
      <c r="AL1" s="1460"/>
      <c r="AM1" s="1461"/>
    </row>
    <row r="2" spans="1:40" ht="22.15" customHeight="1" thickBot="1" x14ac:dyDescent="0.35">
      <c r="A2" s="1456"/>
      <c r="B2" s="1457"/>
      <c r="C2" s="1458"/>
      <c r="D2" s="1462" t="s">
        <v>169</v>
      </c>
      <c r="E2" s="1463"/>
      <c r="F2" s="1463"/>
      <c r="G2" s="1463"/>
      <c r="H2" s="1463"/>
      <c r="I2" s="1463"/>
      <c r="J2" s="1463"/>
      <c r="K2" s="1463"/>
      <c r="L2" s="1463"/>
      <c r="M2" s="1463"/>
      <c r="N2" s="1463"/>
      <c r="O2" s="1463"/>
      <c r="P2" s="1464"/>
      <c r="Q2" s="1462" t="str">
        <f>+D2</f>
        <v xml:space="preserve">Indicadores </v>
      </c>
      <c r="R2" s="1463"/>
      <c r="S2" s="1463"/>
      <c r="T2" s="1463"/>
      <c r="U2" s="1463"/>
      <c r="V2" s="1463"/>
      <c r="W2" s="1463"/>
      <c r="X2" s="1463"/>
      <c r="Y2" s="1463"/>
      <c r="Z2" s="1463"/>
      <c r="AA2" s="1463"/>
      <c r="AB2" s="1463"/>
      <c r="AC2" s="1465"/>
      <c r="AD2" s="1466" t="str">
        <f>+Q2</f>
        <v xml:space="preserve">Indicadores </v>
      </c>
      <c r="AE2" s="1467"/>
      <c r="AF2" s="1467"/>
      <c r="AG2" s="1467"/>
      <c r="AH2" s="1467"/>
      <c r="AI2" s="1467"/>
      <c r="AJ2" s="1467"/>
      <c r="AK2" s="1467"/>
      <c r="AL2" s="1467"/>
      <c r="AM2" s="1468"/>
    </row>
    <row r="3" spans="1:40" ht="22.15" hidden="1" customHeight="1" thickBot="1" x14ac:dyDescent="0.35">
      <c r="A3" s="194"/>
      <c r="B3" s="195"/>
      <c r="C3" s="77"/>
      <c r="D3" s="834">
        <v>1</v>
      </c>
      <c r="E3" s="835">
        <f>+D3+1</f>
        <v>2</v>
      </c>
      <c r="F3" s="835">
        <f t="shared" ref="F3:O3" si="0">+E3+1</f>
        <v>3</v>
      </c>
      <c r="G3" s="835">
        <f t="shared" si="0"/>
        <v>4</v>
      </c>
      <c r="H3" s="835">
        <f t="shared" si="0"/>
        <v>5</v>
      </c>
      <c r="I3" s="835">
        <f t="shared" si="0"/>
        <v>6</v>
      </c>
      <c r="J3" s="835">
        <f t="shared" si="0"/>
        <v>7</v>
      </c>
      <c r="K3" s="835">
        <f t="shared" si="0"/>
        <v>8</v>
      </c>
      <c r="L3" s="835">
        <f>+K3+1</f>
        <v>9</v>
      </c>
      <c r="M3" s="835">
        <f t="shared" si="0"/>
        <v>10</v>
      </c>
      <c r="N3" s="835">
        <f t="shared" si="0"/>
        <v>11</v>
      </c>
      <c r="O3" s="835">
        <f t="shared" si="0"/>
        <v>12</v>
      </c>
      <c r="P3" s="203"/>
      <c r="Q3" s="834">
        <f>+O3+1</f>
        <v>13</v>
      </c>
      <c r="R3" s="834">
        <f>+Q3+1</f>
        <v>14</v>
      </c>
      <c r="S3" s="834">
        <f t="shared" ref="S3:AB3" si="1">+R3+1</f>
        <v>15</v>
      </c>
      <c r="T3" s="834">
        <f t="shared" si="1"/>
        <v>16</v>
      </c>
      <c r="U3" s="834">
        <f t="shared" si="1"/>
        <v>17</v>
      </c>
      <c r="V3" s="834">
        <f t="shared" si="1"/>
        <v>18</v>
      </c>
      <c r="W3" s="834">
        <f t="shared" si="1"/>
        <v>19</v>
      </c>
      <c r="X3" s="834">
        <f t="shared" si="1"/>
        <v>20</v>
      </c>
      <c r="Y3" s="834">
        <f t="shared" si="1"/>
        <v>21</v>
      </c>
      <c r="Z3" s="834">
        <f t="shared" si="1"/>
        <v>22</v>
      </c>
      <c r="AA3" s="834">
        <f t="shared" si="1"/>
        <v>23</v>
      </c>
      <c r="AB3" s="834">
        <f t="shared" si="1"/>
        <v>24</v>
      </c>
      <c r="AC3" s="201"/>
      <c r="AD3" s="203"/>
      <c r="AE3" s="203"/>
      <c r="AF3" s="203"/>
      <c r="AG3" s="203"/>
      <c r="AH3" s="203"/>
      <c r="AI3" s="203"/>
      <c r="AJ3" s="203"/>
      <c r="AK3" s="203"/>
      <c r="AL3" s="203"/>
      <c r="AM3" s="201"/>
    </row>
    <row r="4" spans="1:40" ht="22.15" customHeight="1" x14ac:dyDescent="0.35">
      <c r="A4" s="836" t="s">
        <v>287</v>
      </c>
      <c r="B4" s="837"/>
      <c r="C4" s="837"/>
      <c r="D4" s="838" t="s">
        <v>41</v>
      </c>
      <c r="E4" s="662" t="s">
        <v>289</v>
      </c>
      <c r="F4" s="662" t="s">
        <v>185</v>
      </c>
      <c r="G4" s="838" t="s">
        <v>288</v>
      </c>
      <c r="H4" s="1488" t="s">
        <v>365</v>
      </c>
      <c r="I4" s="1488"/>
      <c r="J4" s="1488"/>
      <c r="K4" s="1476" t="s">
        <v>401</v>
      </c>
      <c r="L4" s="1482"/>
      <c r="M4" s="1482"/>
      <c r="N4" s="1482"/>
      <c r="O4" s="1482"/>
      <c r="P4" s="1482"/>
      <c r="Q4" s="839" t="s">
        <v>203</v>
      </c>
      <c r="R4" s="661" t="s">
        <v>186</v>
      </c>
      <c r="S4" s="661" t="s">
        <v>185</v>
      </c>
      <c r="T4" s="840" t="str">
        <f t="shared" ref="T4:U7" si="2">+G4</f>
        <v>Plaza (mes)</v>
      </c>
      <c r="U4" s="1479" t="str">
        <f t="shared" si="2"/>
        <v>Tipo de Crédito</v>
      </c>
      <c r="V4" s="1480"/>
      <c r="W4" s="1481"/>
      <c r="X4" s="1476" t="s">
        <v>401</v>
      </c>
      <c r="Y4" s="1477"/>
      <c r="Z4" s="1477"/>
      <c r="AA4" s="1477"/>
      <c r="AB4" s="1477"/>
      <c r="AC4" s="1478"/>
      <c r="AD4" s="841" t="s">
        <v>203</v>
      </c>
      <c r="AE4" s="663" t="s">
        <v>186</v>
      </c>
      <c r="AF4" s="842" t="s">
        <v>185</v>
      </c>
      <c r="AG4" s="843" t="s">
        <v>187</v>
      </c>
      <c r="AH4" s="1476" t="s">
        <v>401</v>
      </c>
      <c r="AI4" s="1482"/>
      <c r="AJ4" s="1482"/>
      <c r="AK4" s="1482"/>
      <c r="AL4" s="1482"/>
      <c r="AM4" s="1482"/>
    </row>
    <row r="5" spans="1:40" ht="17.25" customHeight="1" x14ac:dyDescent="0.3">
      <c r="A5" s="1483" t="s">
        <v>400</v>
      </c>
      <c r="B5" s="1483"/>
      <c r="C5" s="1483"/>
      <c r="D5" s="844">
        <f>+'16 Crédito de Avio'!B5</f>
        <v>50000</v>
      </c>
      <c r="E5" s="845">
        <f>+'16 Crédito de Avio'!C5</f>
        <v>0.12</v>
      </c>
      <c r="F5" s="844">
        <f>+'16 Crédito de Avio'!D5</f>
        <v>3</v>
      </c>
      <c r="G5" s="844">
        <f>+'16 Crédito de Avio'!E5</f>
        <v>36</v>
      </c>
      <c r="H5" s="1489" t="str">
        <f>+'15 Crédito Refaccionario'!G4</f>
        <v>Credito sobre saldos insolutos</v>
      </c>
      <c r="I5" s="1489"/>
      <c r="J5" s="1489"/>
      <c r="K5" s="1475" t="s">
        <v>226</v>
      </c>
      <c r="L5" s="1475"/>
      <c r="M5" s="62">
        <f>+'6 Estructura del Capital'!B10</f>
        <v>570000</v>
      </c>
      <c r="N5" s="1475" t="s">
        <v>228</v>
      </c>
      <c r="O5" s="1475"/>
      <c r="P5" s="772">
        <f>+'6 Estructura del Capital'!B12</f>
        <v>225000</v>
      </c>
      <c r="Q5" s="846">
        <f t="shared" ref="Q5:S7" si="3">+D5</f>
        <v>50000</v>
      </c>
      <c r="R5" s="847">
        <f t="shared" si="3"/>
        <v>0.12</v>
      </c>
      <c r="S5" s="844">
        <f t="shared" si="3"/>
        <v>3</v>
      </c>
      <c r="T5" s="844">
        <f t="shared" si="2"/>
        <v>36</v>
      </c>
      <c r="U5" s="1484" t="str">
        <f t="shared" si="2"/>
        <v>Credito sobre saldos insolutos</v>
      </c>
      <c r="V5" s="1485"/>
      <c r="W5" s="1485"/>
      <c r="X5" s="1475" t="s">
        <v>226</v>
      </c>
      <c r="Y5" s="1475"/>
      <c r="Z5" s="62">
        <f>+M5</f>
        <v>570000</v>
      </c>
      <c r="AA5" s="1475" t="s">
        <v>228</v>
      </c>
      <c r="AB5" s="1475"/>
      <c r="AC5" s="537">
        <f>+P5</f>
        <v>225000</v>
      </c>
      <c r="AD5" s="848">
        <f t="shared" ref="AD5:AG6" si="4">+Q5</f>
        <v>50000</v>
      </c>
      <c r="AE5" s="848">
        <f t="shared" si="4"/>
        <v>0.12</v>
      </c>
      <c r="AF5" s="848">
        <f t="shared" si="4"/>
        <v>3</v>
      </c>
      <c r="AG5" s="848">
        <f t="shared" si="4"/>
        <v>36</v>
      </c>
      <c r="AH5" s="1475" t="s">
        <v>226</v>
      </c>
      <c r="AI5" s="1475"/>
      <c r="AJ5" s="62">
        <f>+Z5</f>
        <v>570000</v>
      </c>
      <c r="AK5" s="1475" t="s">
        <v>228</v>
      </c>
      <c r="AL5" s="1475"/>
      <c r="AM5" s="62">
        <f>+AC5</f>
        <v>225000</v>
      </c>
      <c r="AN5"/>
    </row>
    <row r="6" spans="1:40" ht="17.25" customHeight="1" thickBot="1" x14ac:dyDescent="0.35">
      <c r="A6" s="1483" t="s">
        <v>308</v>
      </c>
      <c r="B6" s="1483"/>
      <c r="C6" s="1483"/>
      <c r="D6" s="844">
        <f>+'15 Crédito Refaccionario'!B5</f>
        <v>100000</v>
      </c>
      <c r="E6" s="845">
        <f>+'15 Crédito Refaccionario'!C5</f>
        <v>0.12</v>
      </c>
      <c r="F6" s="844">
        <f>+'15 Crédito Refaccionario'!D5</f>
        <v>6</v>
      </c>
      <c r="G6" s="844">
        <f>+'15 Crédito Refaccionario'!E5</f>
        <v>60</v>
      </c>
      <c r="H6" s="1489" t="str">
        <f>+'16 Crédito de Avio'!J4</f>
        <v>Credito sobre saldos insolutos</v>
      </c>
      <c r="I6" s="1489"/>
      <c r="J6" s="1489"/>
      <c r="K6" s="1475" t="s">
        <v>364</v>
      </c>
      <c r="L6" s="1475"/>
      <c r="M6" s="62">
        <f>+'6 Estructura del Capital'!B11</f>
        <v>1904000</v>
      </c>
      <c r="N6" s="1475" t="s">
        <v>214</v>
      </c>
      <c r="O6" s="1475"/>
      <c r="P6" s="772">
        <f>+'6 Estructura del Capital'!B13</f>
        <v>2699000</v>
      </c>
      <c r="Q6" s="849">
        <f t="shared" si="3"/>
        <v>100000</v>
      </c>
      <c r="R6" s="850">
        <f t="shared" si="3"/>
        <v>0.12</v>
      </c>
      <c r="S6" s="851">
        <f t="shared" si="3"/>
        <v>6</v>
      </c>
      <c r="T6" s="851">
        <f t="shared" si="2"/>
        <v>60</v>
      </c>
      <c r="U6" s="1486" t="str">
        <f t="shared" si="2"/>
        <v>Credito sobre saldos insolutos</v>
      </c>
      <c r="V6" s="1487"/>
      <c r="W6" s="1487"/>
      <c r="X6" s="1475" t="s">
        <v>364</v>
      </c>
      <c r="Y6" s="1475"/>
      <c r="Z6" s="62">
        <f>+M6</f>
        <v>1904000</v>
      </c>
      <c r="AA6" s="1475" t="s">
        <v>214</v>
      </c>
      <c r="AB6" s="1475"/>
      <c r="AC6" s="537">
        <f>+P6</f>
        <v>2699000</v>
      </c>
      <c r="AD6" s="852">
        <f t="shared" si="4"/>
        <v>100000</v>
      </c>
      <c r="AE6" s="852">
        <f t="shared" si="4"/>
        <v>0.12</v>
      </c>
      <c r="AF6" s="852">
        <f t="shared" si="4"/>
        <v>6</v>
      </c>
      <c r="AG6" s="852">
        <f t="shared" si="4"/>
        <v>60</v>
      </c>
      <c r="AH6" s="1475" t="s">
        <v>364</v>
      </c>
      <c r="AI6" s="1475"/>
      <c r="AJ6" s="62">
        <f>+Z6</f>
        <v>1904000</v>
      </c>
      <c r="AK6" s="1475" t="s">
        <v>214</v>
      </c>
      <c r="AL6" s="1475"/>
      <c r="AM6" s="62">
        <f>+AC6</f>
        <v>2699000</v>
      </c>
      <c r="AN6"/>
    </row>
    <row r="7" spans="1:40" ht="17.25" customHeight="1" thickBot="1" x14ac:dyDescent="0.35">
      <c r="A7" s="853" t="s">
        <v>204</v>
      </c>
      <c r="B7" s="854"/>
      <c r="C7" s="855"/>
      <c r="D7" s="856">
        <f>SUM(D5:D6)</f>
        <v>150000</v>
      </c>
      <c r="E7" s="857" t="s">
        <v>402</v>
      </c>
      <c r="F7" s="858">
        <f>+D7/P6</f>
        <v>5.5576139310855872E-2</v>
      </c>
      <c r="G7" s="859" t="s">
        <v>403</v>
      </c>
      <c r="H7" s="860">
        <f>+'19 Resumen'!K56</f>
        <v>1.4411585278481271</v>
      </c>
      <c r="I7" s="861" t="s">
        <v>404</v>
      </c>
      <c r="J7" s="862">
        <f>+'19 Resumen'!K67</f>
        <v>26724021.360649183</v>
      </c>
      <c r="K7" s="863" t="s">
        <v>405</v>
      </c>
      <c r="L7" s="860">
        <f>+'19 Resumen'!G56</f>
        <v>1.4084113933390667</v>
      </c>
      <c r="M7" s="863" t="s">
        <v>406</v>
      </c>
      <c r="N7" s="864">
        <f>+'19 Resumen'!G67</f>
        <v>12388827.691409238</v>
      </c>
      <c r="O7" s="865" t="s">
        <v>205</v>
      </c>
      <c r="P7" s="866">
        <f>+'19 Resumen'!D13</f>
        <v>4.4999999999999998E-2</v>
      </c>
      <c r="Q7" s="867">
        <f>+D7</f>
        <v>150000</v>
      </c>
      <c r="R7" s="865" t="str">
        <f t="shared" si="3"/>
        <v xml:space="preserve">%/Inver: </v>
      </c>
      <c r="S7" s="868">
        <f t="shared" si="3"/>
        <v>5.5576139310855872E-2</v>
      </c>
      <c r="T7" s="869" t="str">
        <f t="shared" si="2"/>
        <v xml:space="preserve">TIR 10 años: </v>
      </c>
      <c r="U7" s="860">
        <f t="shared" si="2"/>
        <v>1.4411585278481271</v>
      </c>
      <c r="V7" s="869" t="str">
        <f t="shared" ref="V7:AC7" si="5">+I7</f>
        <v xml:space="preserve">VPN 10 Años: </v>
      </c>
      <c r="W7" s="862">
        <f t="shared" si="5"/>
        <v>26724021.360649183</v>
      </c>
      <c r="X7" s="869" t="str">
        <f t="shared" si="5"/>
        <v xml:space="preserve">TIR 5 Años: </v>
      </c>
      <c r="Y7" s="860">
        <f t="shared" si="5"/>
        <v>1.4084113933390667</v>
      </c>
      <c r="Z7" s="869" t="str">
        <f t="shared" si="5"/>
        <v xml:space="preserve">VPN 5 Años: </v>
      </c>
      <c r="AA7" s="862">
        <f t="shared" si="5"/>
        <v>12388827.691409238</v>
      </c>
      <c r="AB7" s="869" t="str">
        <f t="shared" si="5"/>
        <v>Inflación:</v>
      </c>
      <c r="AC7" s="870">
        <f t="shared" si="5"/>
        <v>4.4999999999999998E-2</v>
      </c>
      <c r="AD7" s="871">
        <f t="shared" ref="AD7:AL7" si="6">+Q7</f>
        <v>150000</v>
      </c>
      <c r="AE7" s="869" t="str">
        <f t="shared" si="6"/>
        <v xml:space="preserve">%/Inver: </v>
      </c>
      <c r="AF7" s="860">
        <f t="shared" si="6"/>
        <v>5.5576139310855872E-2</v>
      </c>
      <c r="AG7" s="869" t="str">
        <f t="shared" si="6"/>
        <v xml:space="preserve">TIR 10 años: </v>
      </c>
      <c r="AH7" s="860">
        <f t="shared" si="6"/>
        <v>1.4411585278481271</v>
      </c>
      <c r="AI7" s="869" t="str">
        <f t="shared" si="6"/>
        <v xml:space="preserve">VPN 10 Años: </v>
      </c>
      <c r="AJ7" s="862">
        <f t="shared" si="6"/>
        <v>26724021.360649183</v>
      </c>
      <c r="AK7" s="869" t="str">
        <f t="shared" si="6"/>
        <v xml:space="preserve">TIR 5 Años: </v>
      </c>
      <c r="AL7" s="860">
        <f t="shared" si="6"/>
        <v>1.4084113933390667</v>
      </c>
      <c r="AM7" s="872">
        <f>+AC7</f>
        <v>4.4999999999999998E-2</v>
      </c>
    </row>
    <row r="8" spans="1:40" ht="17.25" customHeight="1" thickBot="1" x14ac:dyDescent="0.35">
      <c r="A8" s="873"/>
      <c r="B8" s="874"/>
      <c r="C8" s="590"/>
      <c r="D8" s="875"/>
      <c r="E8" s="876"/>
      <c r="F8" s="876"/>
      <c r="G8" s="876"/>
      <c r="H8" s="876"/>
      <c r="I8" s="876"/>
      <c r="J8" s="876"/>
      <c r="K8" s="876"/>
      <c r="L8" s="876"/>
      <c r="M8" s="876"/>
      <c r="N8" s="877"/>
      <c r="O8" s="152"/>
      <c r="P8" s="152"/>
      <c r="Q8" s="875"/>
      <c r="R8" s="876"/>
      <c r="S8" s="876"/>
      <c r="T8" s="876"/>
      <c r="U8" s="876"/>
      <c r="V8" s="876"/>
      <c r="W8" s="876"/>
      <c r="X8" s="876"/>
      <c r="Y8" s="876"/>
      <c r="Z8" s="876"/>
      <c r="AA8" s="876"/>
      <c r="AB8" s="876"/>
      <c r="AC8" s="878"/>
      <c r="AD8" s="472"/>
      <c r="AE8" s="472"/>
      <c r="AF8" s="472"/>
      <c r="AG8" s="472"/>
      <c r="AH8" s="472"/>
      <c r="AI8" s="472"/>
      <c r="AJ8" s="472"/>
      <c r="AK8" s="472"/>
      <c r="AL8" s="472"/>
      <c r="AM8" s="878"/>
    </row>
    <row r="9" spans="1:40" s="9" customFormat="1" ht="16.5" x14ac:dyDescent="0.35">
      <c r="A9" s="1447"/>
      <c r="B9" s="1448"/>
      <c r="C9" s="1448" t="s">
        <v>161</v>
      </c>
      <c r="D9" s="1445">
        <f>+'3 Balance'!D9</f>
        <v>2017</v>
      </c>
      <c r="E9" s="1446"/>
      <c r="F9" s="1446"/>
      <c r="G9" s="1446"/>
      <c r="H9" s="1446"/>
      <c r="I9" s="1446"/>
      <c r="J9" s="1446"/>
      <c r="K9" s="1446"/>
      <c r="L9" s="1446"/>
      <c r="M9" s="1446"/>
      <c r="N9" s="1446"/>
      <c r="O9" s="1446"/>
      <c r="P9" s="1451" t="s">
        <v>130</v>
      </c>
      <c r="Q9" s="1445">
        <f>+D9+1</f>
        <v>2018</v>
      </c>
      <c r="R9" s="1446"/>
      <c r="S9" s="1446"/>
      <c r="T9" s="1446"/>
      <c r="U9" s="1446"/>
      <c r="V9" s="1446"/>
      <c r="W9" s="1446"/>
      <c r="X9" s="1446"/>
      <c r="Y9" s="1446"/>
      <c r="Z9" s="1446"/>
      <c r="AA9" s="1446"/>
      <c r="AB9" s="1446"/>
      <c r="AC9" s="1443" t="s">
        <v>132</v>
      </c>
      <c r="AD9" s="879" t="s">
        <v>1</v>
      </c>
      <c r="AE9" s="880" t="s">
        <v>1</v>
      </c>
      <c r="AF9" s="880" t="s">
        <v>1</v>
      </c>
      <c r="AG9" s="880" t="s">
        <v>1</v>
      </c>
      <c r="AH9" s="880" t="s">
        <v>1</v>
      </c>
      <c r="AI9" s="880" t="s">
        <v>1</v>
      </c>
      <c r="AJ9" s="880" t="s">
        <v>1</v>
      </c>
      <c r="AK9" s="880" t="s">
        <v>1</v>
      </c>
      <c r="AL9" s="880" t="s">
        <v>1</v>
      </c>
      <c r="AM9" s="881" t="s">
        <v>1</v>
      </c>
    </row>
    <row r="10" spans="1:40" s="9" customFormat="1" ht="17.25" thickBot="1" x14ac:dyDescent="0.4">
      <c r="A10" s="1449"/>
      <c r="B10" s="1450"/>
      <c r="C10" s="1450"/>
      <c r="D10" s="339" t="s">
        <v>60</v>
      </c>
      <c r="E10" s="340" t="s">
        <v>61</v>
      </c>
      <c r="F10" s="340" t="s">
        <v>62</v>
      </c>
      <c r="G10" s="340" t="s">
        <v>63</v>
      </c>
      <c r="H10" s="340" t="s">
        <v>64</v>
      </c>
      <c r="I10" s="340" t="s">
        <v>65</v>
      </c>
      <c r="J10" s="340" t="s">
        <v>66</v>
      </c>
      <c r="K10" s="340" t="s">
        <v>67</v>
      </c>
      <c r="L10" s="340" t="s">
        <v>68</v>
      </c>
      <c r="M10" s="340" t="s">
        <v>69</v>
      </c>
      <c r="N10" s="340" t="s">
        <v>70</v>
      </c>
      <c r="O10" s="340" t="s">
        <v>71</v>
      </c>
      <c r="P10" s="1452"/>
      <c r="Q10" s="339" t="s">
        <v>60</v>
      </c>
      <c r="R10" s="340" t="s">
        <v>61</v>
      </c>
      <c r="S10" s="340" t="s">
        <v>62</v>
      </c>
      <c r="T10" s="340" t="s">
        <v>63</v>
      </c>
      <c r="U10" s="340" t="s">
        <v>64</v>
      </c>
      <c r="V10" s="340" t="s">
        <v>65</v>
      </c>
      <c r="W10" s="340" t="s">
        <v>66</v>
      </c>
      <c r="X10" s="340" t="s">
        <v>67</v>
      </c>
      <c r="Y10" s="340" t="s">
        <v>68</v>
      </c>
      <c r="Z10" s="340" t="s">
        <v>69</v>
      </c>
      <c r="AA10" s="340" t="s">
        <v>70</v>
      </c>
      <c r="AB10" s="340" t="s">
        <v>71</v>
      </c>
      <c r="AC10" s="1444"/>
      <c r="AD10" s="882">
        <f>YEAR('19 Resumen'!D2)</f>
        <v>2017</v>
      </c>
      <c r="AE10" s="91">
        <f>+AD10+1</f>
        <v>2018</v>
      </c>
      <c r="AF10" s="91">
        <f t="shared" ref="AF10:AM10" si="7">+AE10+1</f>
        <v>2019</v>
      </c>
      <c r="AG10" s="91">
        <f t="shared" si="7"/>
        <v>2020</v>
      </c>
      <c r="AH10" s="91">
        <f t="shared" si="7"/>
        <v>2021</v>
      </c>
      <c r="AI10" s="91">
        <f t="shared" si="7"/>
        <v>2022</v>
      </c>
      <c r="AJ10" s="91">
        <f t="shared" si="7"/>
        <v>2023</v>
      </c>
      <c r="AK10" s="91">
        <f t="shared" si="7"/>
        <v>2024</v>
      </c>
      <c r="AL10" s="91">
        <f t="shared" si="7"/>
        <v>2025</v>
      </c>
      <c r="AM10" s="92">
        <f t="shared" si="7"/>
        <v>2026</v>
      </c>
    </row>
    <row r="11" spans="1:40" ht="15.75" thickBot="1" x14ac:dyDescent="0.35">
      <c r="A11" s="151"/>
      <c r="B11" s="152"/>
      <c r="C11" s="153"/>
      <c r="D11" s="151"/>
      <c r="E11" s="152"/>
      <c r="F11" s="152"/>
      <c r="G11" s="152"/>
      <c r="H11" s="152"/>
      <c r="I11" s="152"/>
      <c r="J11" s="152"/>
      <c r="K11" s="152"/>
      <c r="L11" s="152"/>
      <c r="M11" s="152"/>
      <c r="N11" s="152"/>
      <c r="O11" s="152"/>
      <c r="P11" s="152"/>
      <c r="Q11" s="151"/>
      <c r="R11" s="152"/>
      <c r="S11" s="152"/>
      <c r="T11" s="152"/>
      <c r="U11" s="152"/>
      <c r="V11" s="152"/>
      <c r="W11" s="152"/>
      <c r="X11" s="152"/>
      <c r="Y11" s="152"/>
      <c r="Z11" s="152"/>
      <c r="AA11" s="152"/>
      <c r="AB11" s="152"/>
      <c r="AC11" s="153"/>
      <c r="AD11" s="152"/>
      <c r="AE11" s="152"/>
      <c r="AF11" s="152"/>
      <c r="AG11" s="152"/>
      <c r="AH11" s="152"/>
      <c r="AI11" s="152"/>
      <c r="AJ11" s="152"/>
      <c r="AK11" s="152"/>
      <c r="AL11" s="152"/>
      <c r="AM11" s="153"/>
    </row>
    <row r="12" spans="1:40" ht="19.5" x14ac:dyDescent="0.4">
      <c r="A12" s="883" t="s">
        <v>173</v>
      </c>
      <c r="B12" s="155"/>
      <c r="C12" s="884"/>
      <c r="D12" s="1439" t="str">
        <f>+A12</f>
        <v>Flujos</v>
      </c>
      <c r="E12" s="1440"/>
      <c r="F12" s="1440"/>
      <c r="G12" s="1440"/>
      <c r="H12" s="1440"/>
      <c r="I12" s="1440"/>
      <c r="J12" s="1440"/>
      <c r="K12" s="1440"/>
      <c r="L12" s="1440"/>
      <c r="M12" s="1440"/>
      <c r="N12" s="1440"/>
      <c r="O12" s="1440"/>
      <c r="P12" s="1440"/>
      <c r="Q12" s="1439" t="str">
        <f>+D12</f>
        <v>Flujos</v>
      </c>
      <c r="R12" s="1440"/>
      <c r="S12" s="1440"/>
      <c r="T12" s="1440"/>
      <c r="U12" s="1440"/>
      <c r="V12" s="1440"/>
      <c r="W12" s="1440"/>
      <c r="X12" s="1440"/>
      <c r="Y12" s="1440"/>
      <c r="Z12" s="1440"/>
      <c r="AA12" s="1440"/>
      <c r="AB12" s="1440"/>
      <c r="AC12" s="1441"/>
      <c r="AD12" s="1437" t="str">
        <f>+Q12</f>
        <v>Flujos</v>
      </c>
      <c r="AE12" s="1437"/>
      <c r="AF12" s="1437"/>
      <c r="AG12" s="1437"/>
      <c r="AH12" s="1437"/>
      <c r="AI12" s="1437"/>
      <c r="AJ12" s="1437"/>
      <c r="AK12" s="1437"/>
      <c r="AL12" s="1437"/>
      <c r="AM12" s="1438"/>
    </row>
    <row r="13" spans="1:40" x14ac:dyDescent="0.3">
      <c r="A13" s="151"/>
      <c r="B13" s="40" t="s">
        <v>134</v>
      </c>
      <c r="C13" s="885"/>
      <c r="D13" s="886">
        <f>+'4 Estado de Resultados'!D12</f>
        <v>0</v>
      </c>
      <c r="E13" s="62">
        <f>+'4 Estado de Resultados'!E12</f>
        <v>0</v>
      </c>
      <c r="F13" s="62">
        <f>+'4 Estado de Resultados'!F12</f>
        <v>0</v>
      </c>
      <c r="G13" s="62">
        <f>+'4 Estado de Resultados'!G12</f>
        <v>0</v>
      </c>
      <c r="H13" s="62">
        <f>+'4 Estado de Resultados'!H12</f>
        <v>0</v>
      </c>
      <c r="I13" s="62">
        <f>+'4 Estado de Resultados'!I12</f>
        <v>1274400</v>
      </c>
      <c r="J13" s="62">
        <f>+'4 Estado de Resultados'!J12</f>
        <v>1152270</v>
      </c>
      <c r="K13" s="62">
        <f>+'4 Estado de Resultados'!K12</f>
        <v>987660</v>
      </c>
      <c r="L13" s="62">
        <f>+'4 Estado de Resultados'!L12</f>
        <v>1115100</v>
      </c>
      <c r="M13" s="62">
        <f>+'4 Estado de Resultados'!M12</f>
        <v>1975320</v>
      </c>
      <c r="N13" s="62">
        <f>+'4 Estado de Resultados'!N12</f>
        <v>2389500</v>
      </c>
      <c r="O13" s="62">
        <f>+'4 Estado de Resultados'!O12</f>
        <v>2962980</v>
      </c>
      <c r="P13" s="772">
        <f>+'4 Estado de Resultados'!P12</f>
        <v>11857230</v>
      </c>
      <c r="Q13" s="886">
        <f>+'4 Estado de Resultados'!Q12</f>
        <v>1086426</v>
      </c>
      <c r="R13" s="62">
        <f>+'4 Estado de Resultados'!R12</f>
        <v>1635480</v>
      </c>
      <c r="S13" s="62">
        <f>+'4 Estado de Resultados'!S12</f>
        <v>1720174.5</v>
      </c>
      <c r="T13" s="62">
        <f>+'4 Estado de Resultados'!T12</f>
        <v>1664685</v>
      </c>
      <c r="U13" s="62">
        <f>+'4 Estado de Resultados'!U12</f>
        <v>2172852</v>
      </c>
      <c r="V13" s="62">
        <f>+'4 Estado de Resultados'!V12</f>
        <v>1401840</v>
      </c>
      <c r="W13" s="62">
        <f>+'4 Estado de Resultados'!W12</f>
        <v>1267497</v>
      </c>
      <c r="X13" s="62">
        <f>+'4 Estado de Resultados'!X12</f>
        <v>1086426</v>
      </c>
      <c r="Y13" s="62">
        <f>+'4 Estado de Resultados'!Y12</f>
        <v>1226610</v>
      </c>
      <c r="Z13" s="62">
        <f>+'4 Estado de Resultados'!Z12</f>
        <v>2172852</v>
      </c>
      <c r="AA13" s="62">
        <f>+'4 Estado de Resultados'!AA12</f>
        <v>2628450</v>
      </c>
      <c r="AB13" s="62">
        <f>+'4 Estado de Resultados'!AB12</f>
        <v>3259278</v>
      </c>
      <c r="AC13" s="537">
        <f>+'4 Estado de Resultados'!AC12</f>
        <v>21322570.5</v>
      </c>
      <c r="AD13" s="763">
        <f>+'4 Estado de Resultados'!AD12</f>
        <v>11857230</v>
      </c>
      <c r="AE13" s="62">
        <f>+'4 Estado de Resultados'!AE12</f>
        <v>21322570.5</v>
      </c>
      <c r="AF13" s="62">
        <f>+'4 Estado de Resultados'!AF12</f>
        <v>23454827.550000004</v>
      </c>
      <c r="AG13" s="62">
        <f>+'4 Estado de Resultados'!AG12</f>
        <v>25800310.305000003</v>
      </c>
      <c r="AH13" s="62">
        <f>+'4 Estado de Resultados'!AH12</f>
        <v>28380341.335500006</v>
      </c>
      <c r="AI13" s="62">
        <f>+'4 Estado de Resultados'!AI12</f>
        <v>30650768.642340008</v>
      </c>
      <c r="AJ13" s="62">
        <f>+'4 Estado de Resultados'!AJ12</f>
        <v>33102830.133727208</v>
      </c>
      <c r="AK13" s="62">
        <f>+'4 Estado de Resultados'!AK12</f>
        <v>35751056.544425391</v>
      </c>
      <c r="AL13" s="62">
        <f>+'4 Estado de Resultados'!AL12</f>
        <v>38611141.067979425</v>
      </c>
      <c r="AM13" s="537">
        <f>+'4 Estado de Resultados'!AM12</f>
        <v>41700032.353417777</v>
      </c>
    </row>
    <row r="14" spans="1:40" x14ac:dyDescent="0.3">
      <c r="A14" s="151"/>
      <c r="B14" s="887" t="s">
        <v>116</v>
      </c>
      <c r="C14" s="885"/>
      <c r="D14" s="886">
        <f>+'4 Estado de Resultados'!D28</f>
        <v>0</v>
      </c>
      <c r="E14" s="62">
        <f>+'4 Estado de Resultados'!E28</f>
        <v>0</v>
      </c>
      <c r="F14" s="62">
        <f>+'4 Estado de Resultados'!F28</f>
        <v>-243649</v>
      </c>
      <c r="G14" s="62">
        <f>+'4 Estado de Resultados'!G28</f>
        <v>-225674</v>
      </c>
      <c r="H14" s="62">
        <f>+'4 Estado de Resultados'!H28</f>
        <v>-398355</v>
      </c>
      <c r="I14" s="62">
        <f>+'4 Estado de Resultados'!I28</f>
        <v>275747.58804373757</v>
      </c>
      <c r="J14" s="62">
        <f>+'4 Estado de Resultados'!J28</f>
        <v>215624.9373481053</v>
      </c>
      <c r="K14" s="62">
        <f>+'4 Estado de Resultados'!K28</f>
        <v>159543.34490496415</v>
      </c>
      <c r="L14" s="62">
        <f>+'4 Estado de Resultados'!L28</f>
        <v>206235.58750494837</v>
      </c>
      <c r="M14" s="62">
        <f>+'4 Estado de Resultados'!M28</f>
        <v>573570.59179088194</v>
      </c>
      <c r="N14" s="62">
        <f>+'4 Estado de Resultados'!N28</f>
        <v>790997.21836688451</v>
      </c>
      <c r="O14" s="62">
        <f>+'4 Estado de Resultados'!O28</f>
        <v>437316.25850107241</v>
      </c>
      <c r="P14" s="772">
        <f>+'4 Estado de Resultados'!P28</f>
        <v>1791357.5264605943</v>
      </c>
      <c r="Q14" s="886">
        <f>+'4 Estado de Resultados'!Q28</f>
        <v>171841.45879797975</v>
      </c>
      <c r="R14" s="62">
        <f>+'4 Estado de Resultados'!R28</f>
        <v>402114.71882154862</v>
      </c>
      <c r="S14" s="62">
        <f>+'4 Estado de Resultados'!S28</f>
        <v>387954.35759511776</v>
      </c>
      <c r="T14" s="62">
        <f>+'4 Estado de Resultados'!T28</f>
        <v>396601.66236868675</v>
      </c>
      <c r="U14" s="62">
        <f>+'4 Estado de Resultados'!U28</f>
        <v>582546.96389225579</v>
      </c>
      <c r="V14" s="62">
        <f>+'4 Estado de Resultados'!V28</f>
        <v>296244.53491582489</v>
      </c>
      <c r="W14" s="62">
        <f>+'4 Estado de Resultados'!W28</f>
        <v>228189.87343939388</v>
      </c>
      <c r="X14" s="62">
        <f>+'4 Estado de Resultados'!X28</f>
        <v>159670.69196296291</v>
      </c>
      <c r="Y14" s="62">
        <f>+'4 Estado de Resultados'!Y28</f>
        <v>207343.75098653196</v>
      </c>
      <c r="Z14" s="62">
        <f>+'4 Estado de Resultados'!Z28</f>
        <v>579882.30901010102</v>
      </c>
      <c r="AA14" s="62">
        <f>+'4 Estado de Resultados'!AA28</f>
        <v>798677.59903367003</v>
      </c>
      <c r="AB14" s="62">
        <f>+'4 Estado de Resultados'!AB28</f>
        <v>-261862.47360360669</v>
      </c>
      <c r="AC14" s="537">
        <f>+'4 Estado de Resultados'!AC28</f>
        <v>3949205.447220468</v>
      </c>
      <c r="AD14" s="763">
        <f>+'4 Estado de Resultados'!AD28</f>
        <v>1791357.5264605943</v>
      </c>
      <c r="AE14" s="62">
        <f>+'4 Estado de Resultados'!AE28</f>
        <v>3949205.447220468</v>
      </c>
      <c r="AF14" s="62">
        <f>+'4 Estado de Resultados'!AF28</f>
        <v>4441324.6934959143</v>
      </c>
      <c r="AG14" s="62">
        <f>+'4 Estado de Resultados'!AG28</f>
        <v>4970641.7851982443</v>
      </c>
      <c r="AH14" s="62">
        <f>+'4 Estado de Resultados'!AH28</f>
        <v>5554961.6848831177</v>
      </c>
      <c r="AI14" s="62">
        <f>+'4 Estado de Resultados'!AI28</f>
        <v>6215052.107124351</v>
      </c>
      <c r="AJ14" s="62">
        <f>+'4 Estado de Resultados'!AJ28</f>
        <v>7734815.2414545007</v>
      </c>
      <c r="AK14" s="62">
        <f>+'4 Estado de Resultados'!AK28</f>
        <v>8462344.1509125177</v>
      </c>
      <c r="AL14" s="62">
        <f>+'4 Estado de Resultados'!AL28</f>
        <v>9312835.9384547863</v>
      </c>
      <c r="AM14" s="537">
        <f>+'4 Estado de Resultados'!AM28</f>
        <v>10168815.131001618</v>
      </c>
    </row>
    <row r="15" spans="1:40" ht="15.75" thickBot="1" x14ac:dyDescent="0.35">
      <c r="A15" s="888"/>
      <c r="B15" s="889" t="s">
        <v>168</v>
      </c>
      <c r="C15" s="890">
        <f>+'5 Estado de Fuentes y Usos'!B54</f>
        <v>570000</v>
      </c>
      <c r="D15" s="891">
        <f>+'5 Estado de Fuentes y Usos'!C54</f>
        <v>0</v>
      </c>
      <c r="E15" s="892">
        <f>+'5 Estado de Fuentes y Usos'!D54</f>
        <v>570000</v>
      </c>
      <c r="F15" s="892">
        <f>+'5 Estado de Fuentes y Usos'!E54</f>
        <v>-280219</v>
      </c>
      <c r="G15" s="892">
        <f>+'5 Estado de Fuentes y Usos'!F54</f>
        <v>-482463</v>
      </c>
      <c r="H15" s="892">
        <f>+'5 Estado de Fuentes y Usos'!G54</f>
        <v>-807388</v>
      </c>
      <c r="I15" s="892">
        <f>+'5 Estado de Fuentes y Usos'!H54</f>
        <v>-358210.41195626243</v>
      </c>
      <c r="J15" s="892">
        <f>+'5 Estado de Fuentes y Usos'!I54</f>
        <v>-119155.47460815718</v>
      </c>
      <c r="K15" s="892">
        <f>+'5 Estado de Fuentes y Usos'!J54</f>
        <v>63817.870296806912</v>
      </c>
      <c r="L15" s="892">
        <f>+'5 Estado de Fuentes y Usos'!K54</f>
        <v>291968.30628660391</v>
      </c>
      <c r="M15" s="892">
        <f>+'5 Estado de Fuentes y Usos'!L54</f>
        <v>885601.8947104828</v>
      </c>
      <c r="N15" s="892">
        <f>+'5 Estado de Fuentes y Usos'!M54</f>
        <v>1696662.1097103644</v>
      </c>
      <c r="O15" s="892">
        <f>+'5 Estado de Fuentes y Usos'!N54</f>
        <v>2668838.0086363647</v>
      </c>
      <c r="P15" s="893">
        <f>+'5 Estado de Fuentes y Usos'!O54</f>
        <v>2668838.0086363629</v>
      </c>
      <c r="Q15" s="891">
        <f>+'5 Estado de Fuentes y Usos'!P54</f>
        <v>-655079.20259932661</v>
      </c>
      <c r="R15" s="892">
        <f>+'5 Estado de Fuentes y Usos'!Q54</f>
        <v>-218723.15381144767</v>
      </c>
      <c r="S15" s="892">
        <f>+'5 Estado de Fuentes y Usos'!R54</f>
        <v>203472.53375000018</v>
      </c>
      <c r="T15" s="892">
        <f>+'5 Estado de Fuentes y Usos'!S54</f>
        <v>44518.882293086033</v>
      </c>
      <c r="U15" s="892">
        <f>+'5 Estado de Fuentes y Usos'!T54</f>
        <v>661307.17615167215</v>
      </c>
      <c r="V15" s="892">
        <f>+'5 Estado de Fuentes y Usos'!U54</f>
        <v>991793.04103382677</v>
      </c>
      <c r="W15" s="892">
        <f>+'5 Estado de Fuentes y Usos'!V54</f>
        <v>1254224.2444395507</v>
      </c>
      <c r="X15" s="892">
        <f>+'5 Estado de Fuentes y Usos'!W54</f>
        <v>1448136.2663688436</v>
      </c>
      <c r="Y15" s="892">
        <f>+'5 Estado de Fuentes y Usos'!X54</f>
        <v>1689721.3473217057</v>
      </c>
      <c r="Z15" s="892">
        <f>+'5 Estado de Fuentes y Usos'!Y54</f>
        <v>2303844.9862981373</v>
      </c>
      <c r="AA15" s="892">
        <f>+'5 Estado de Fuentes y Usos'!Z54</f>
        <v>3136763.9152981369</v>
      </c>
      <c r="AB15" s="892">
        <f>+'5 Estado de Fuentes y Usos'!AA54</f>
        <v>4029401.421321705</v>
      </c>
      <c r="AC15" s="890">
        <f>+'5 Estado de Fuentes y Usos'!AB54</f>
        <v>4029401.421321705</v>
      </c>
      <c r="AD15" s="894">
        <f>+'5 Estado de Fuentes y Usos'!AC54</f>
        <v>2668838.0086363629</v>
      </c>
      <c r="AE15" s="892">
        <f>+'5 Estado de Fuentes y Usos'!AD54</f>
        <v>4029401.421321705</v>
      </c>
      <c r="AF15" s="892">
        <f>+'5 Estado de Fuentes y Usos'!AE54</f>
        <v>8880450.1874570735</v>
      </c>
      <c r="AG15" s="892">
        <f>+'5 Estado de Fuentes y Usos'!AF54</f>
        <v>14191669.33408672</v>
      </c>
      <c r="AH15" s="892">
        <f>+'5 Estado de Fuentes y Usos'!AG54</f>
        <v>20150893.572340626</v>
      </c>
      <c r="AI15" s="892">
        <f>+'5 Estado de Fuentes y Usos'!AH54</f>
        <v>26784822.013209213</v>
      </c>
      <c r="AJ15" s="892">
        <f>+'5 Estado de Fuentes y Usos'!AI54</f>
        <v>33787594.359412938</v>
      </c>
      <c r="AK15" s="892">
        <f>+'5 Estado de Fuentes y Usos'!AJ54</f>
        <v>42559493.328568466</v>
      </c>
      <c r="AL15" s="892">
        <f>+'5 Estado de Fuentes y Usos'!AK54</f>
        <v>52462177.898280293</v>
      </c>
      <c r="AM15" s="890">
        <f>+'5 Estado de Fuentes y Usos'!AL54</f>
        <v>62684756.228039727</v>
      </c>
    </row>
    <row r="16" spans="1:40" ht="15.75" thickBot="1" x14ac:dyDescent="0.35">
      <c r="A16" s="151"/>
      <c r="B16" s="152"/>
      <c r="C16" s="153"/>
      <c r="D16" s="151"/>
      <c r="E16" s="152"/>
      <c r="F16" s="152"/>
      <c r="G16" s="152"/>
      <c r="H16" s="152"/>
      <c r="I16" s="152"/>
      <c r="J16" s="152"/>
      <c r="K16" s="152"/>
      <c r="L16" s="152"/>
      <c r="M16" s="152"/>
      <c r="N16" s="152"/>
      <c r="O16" s="152"/>
      <c r="P16" s="152"/>
      <c r="Q16" s="151"/>
      <c r="R16" s="152"/>
      <c r="S16" s="152"/>
      <c r="T16" s="152"/>
      <c r="U16" s="152"/>
      <c r="V16" s="152"/>
      <c r="W16" s="152"/>
      <c r="X16" s="152"/>
      <c r="Y16" s="152"/>
      <c r="Z16" s="152"/>
      <c r="AA16" s="152"/>
      <c r="AB16" s="152"/>
      <c r="AC16" s="153"/>
      <c r="AD16" s="152"/>
      <c r="AE16" s="152"/>
      <c r="AF16" s="152"/>
      <c r="AG16" s="152"/>
      <c r="AH16" s="152"/>
      <c r="AI16" s="152"/>
      <c r="AJ16" s="152"/>
      <c r="AK16" s="152"/>
      <c r="AL16" s="152"/>
      <c r="AM16" s="153"/>
    </row>
    <row r="17" spans="1:41" ht="19.5" x14ac:dyDescent="0.4">
      <c r="A17" s="883" t="s">
        <v>160</v>
      </c>
      <c r="B17" s="155"/>
      <c r="C17" s="884"/>
      <c r="D17" s="1439" t="str">
        <f>+A17</f>
        <v>Balance</v>
      </c>
      <c r="E17" s="1440"/>
      <c r="F17" s="1440"/>
      <c r="G17" s="1440"/>
      <c r="H17" s="1440"/>
      <c r="I17" s="1440"/>
      <c r="J17" s="1440"/>
      <c r="K17" s="1440"/>
      <c r="L17" s="1440"/>
      <c r="M17" s="1440"/>
      <c r="N17" s="1440"/>
      <c r="O17" s="1440"/>
      <c r="P17" s="1440"/>
      <c r="Q17" s="1439" t="str">
        <f>+D17</f>
        <v>Balance</v>
      </c>
      <c r="R17" s="1440"/>
      <c r="S17" s="1440"/>
      <c r="T17" s="1440"/>
      <c r="U17" s="1440"/>
      <c r="V17" s="1440"/>
      <c r="W17" s="1440"/>
      <c r="X17" s="1440"/>
      <c r="Y17" s="1440"/>
      <c r="Z17" s="1440"/>
      <c r="AA17" s="1440"/>
      <c r="AB17" s="1440"/>
      <c r="AC17" s="1441"/>
      <c r="AD17" s="1437" t="str">
        <f>+Q17</f>
        <v>Balance</v>
      </c>
      <c r="AE17" s="1437"/>
      <c r="AF17" s="1437"/>
      <c r="AG17" s="1437"/>
      <c r="AH17" s="1437"/>
      <c r="AI17" s="1437"/>
      <c r="AJ17" s="1437"/>
      <c r="AK17" s="1437"/>
      <c r="AL17" s="1437"/>
      <c r="AM17" s="1438"/>
    </row>
    <row r="18" spans="1:41" x14ac:dyDescent="0.3">
      <c r="A18" s="151"/>
      <c r="B18" s="763" t="s">
        <v>170</v>
      </c>
      <c r="C18" s="537">
        <f>+'3 Balance'!C37</f>
        <v>1894000</v>
      </c>
      <c r="D18" s="886">
        <f>'3 Balance'!D37</f>
        <v>0</v>
      </c>
      <c r="E18" s="62">
        <f>'3 Balance'!E37</f>
        <v>1894000</v>
      </c>
      <c r="F18" s="62">
        <f>'3 Balance'!F37</f>
        <v>1750351</v>
      </c>
      <c r="G18" s="62">
        <f>'3 Balance'!G37</f>
        <v>1524677</v>
      </c>
      <c r="H18" s="62">
        <f>'3 Balance'!H37</f>
        <v>1176322</v>
      </c>
      <c r="I18" s="62">
        <f>'3 Balance'!I37</f>
        <v>1602069.5880437377</v>
      </c>
      <c r="J18" s="62">
        <f>'3 Balance'!J37</f>
        <v>1817694.5253918427</v>
      </c>
      <c r="K18" s="62">
        <f>'3 Balance'!K37</f>
        <v>1977237.870296807</v>
      </c>
      <c r="L18" s="62">
        <f>'3 Balance'!L37</f>
        <v>2181958.3062866041</v>
      </c>
      <c r="M18" s="62">
        <f>'3 Balance'!M37</f>
        <v>2752161.894710483</v>
      </c>
      <c r="N18" s="62">
        <f>'3 Balance'!N37</f>
        <v>3539792.1097103646</v>
      </c>
      <c r="O18" s="62">
        <f>'3 Balance'!O37</f>
        <v>4563538.0086363647</v>
      </c>
      <c r="P18" s="772">
        <f>'3 Balance'!P37</f>
        <v>4563538.0086363629</v>
      </c>
      <c r="Q18" s="886">
        <f>'3 Balance'!Q37</f>
        <v>4732012.4640673399</v>
      </c>
      <c r="R18" s="62">
        <f>'3 Balance'!R37</f>
        <v>5130760.1795218866</v>
      </c>
      <c r="S18" s="62">
        <f>'3 Balance'!S37</f>
        <v>5515347.5337500004</v>
      </c>
      <c r="T18" s="62">
        <f>'3 Balance'!T37</f>
        <v>5318785.5489597525</v>
      </c>
      <c r="U18" s="62">
        <f>'3 Balance'!U37</f>
        <v>5897965.5094850063</v>
      </c>
      <c r="V18" s="62">
        <f>'3 Balance'!V37</f>
        <v>6190843.0410338268</v>
      </c>
      <c r="W18" s="62">
        <f>'3 Balance'!W37</f>
        <v>6415665.9111062167</v>
      </c>
      <c r="X18" s="62">
        <f>'3 Balance'!X37</f>
        <v>6571969.5997021776</v>
      </c>
      <c r="Y18" s="62">
        <f>'3 Balance'!Y37</f>
        <v>6775946.3473217059</v>
      </c>
      <c r="Z18" s="62">
        <f>'3 Balance'!Z37</f>
        <v>7352461.6529648034</v>
      </c>
      <c r="AA18" s="62">
        <f>'3 Balance'!AA37</f>
        <v>8147772.2486314708</v>
      </c>
      <c r="AB18" s="62">
        <f>'3 Balance'!AB37</f>
        <v>9182801.421321705</v>
      </c>
      <c r="AC18" s="537">
        <f>'3 Balance'!AC37</f>
        <v>9182801.421321705</v>
      </c>
      <c r="AD18" s="763">
        <f>'3 Balance'!AD37</f>
        <v>4563538.0086363629</v>
      </c>
      <c r="AE18" s="62">
        <f>'3 Balance'!AE37</f>
        <v>9182801.421321705</v>
      </c>
      <c r="AF18" s="62">
        <f>'3 Balance'!AF37</f>
        <v>13745750.187457073</v>
      </c>
      <c r="AG18" s="62">
        <f>'3 Balance'!AG37</f>
        <v>18860869.33408672</v>
      </c>
      <c r="AH18" s="62">
        <f>'3 Balance'!AH37</f>
        <v>24585993.572340626</v>
      </c>
      <c r="AI18" s="62">
        <f>'3 Balance'!AI37</f>
        <v>30862822.013209213</v>
      </c>
      <c r="AJ18" s="62">
        <f>'3 Balance'!AJ37</f>
        <v>37840494.359412938</v>
      </c>
      <c r="AK18" s="62">
        <f>'3 Balance'!AK37</f>
        <v>46424093.328568466</v>
      </c>
      <c r="AL18" s="62">
        <f>'3 Balance'!AL37</f>
        <v>55878677.898280293</v>
      </c>
      <c r="AM18" s="537">
        <f>'3 Balance'!AM37</f>
        <v>66190156.228039727</v>
      </c>
    </row>
    <row r="19" spans="1:41" x14ac:dyDescent="0.3">
      <c r="A19" s="151"/>
      <c r="B19" s="763" t="s">
        <v>171</v>
      </c>
      <c r="C19" s="537">
        <f>+'3 Balance'!C52</f>
        <v>0</v>
      </c>
      <c r="D19" s="886">
        <f>'3 Balance'!D52</f>
        <v>0</v>
      </c>
      <c r="E19" s="62">
        <f>'3 Balance'!E52</f>
        <v>0</v>
      </c>
      <c r="F19" s="62">
        <f>'3 Balance'!F52</f>
        <v>100000</v>
      </c>
      <c r="G19" s="62">
        <f>'3 Balance'!G52</f>
        <v>100000</v>
      </c>
      <c r="H19" s="62">
        <f>'3 Balance'!H52</f>
        <v>150000</v>
      </c>
      <c r="I19" s="62">
        <f>'3 Balance'!I52</f>
        <v>150000</v>
      </c>
      <c r="J19" s="62">
        <f>'3 Balance'!J52</f>
        <v>150000</v>
      </c>
      <c r="K19" s="62">
        <f>'3 Balance'!K52</f>
        <v>150000</v>
      </c>
      <c r="L19" s="62">
        <f>'3 Balance'!L52</f>
        <v>148484.84848484851</v>
      </c>
      <c r="M19" s="62">
        <f>'3 Balance'!M52</f>
        <v>145117.84511784511</v>
      </c>
      <c r="N19" s="62">
        <f>'3 Balance'!N52</f>
        <v>141750.84175084176</v>
      </c>
      <c r="O19" s="62">
        <f>'3 Balance'!O52</f>
        <v>728180.4821757694</v>
      </c>
      <c r="P19" s="772">
        <f>'3 Balance'!P52</f>
        <v>728180.4821757694</v>
      </c>
      <c r="Q19" s="886">
        <f>'3 Balance'!Q52</f>
        <v>724813.47880876611</v>
      </c>
      <c r="R19" s="62">
        <f>'3 Balance'!R52</f>
        <v>721446.47544176271</v>
      </c>
      <c r="S19" s="62">
        <f>'3 Balance'!S52</f>
        <v>718079.47207475931</v>
      </c>
      <c r="T19" s="62">
        <f>'3 Balance'!T52</f>
        <v>124915.82491582492</v>
      </c>
      <c r="U19" s="62">
        <f>'3 Balance'!U52</f>
        <v>121548.82154882156</v>
      </c>
      <c r="V19" s="62">
        <f>'3 Balance'!V52</f>
        <v>118181.81818181819</v>
      </c>
      <c r="W19" s="62">
        <f>'3 Balance'!W52</f>
        <v>114814.81481481483</v>
      </c>
      <c r="X19" s="62">
        <f>'3 Balance'!X52</f>
        <v>111447.81144781146</v>
      </c>
      <c r="Y19" s="62">
        <f>'3 Balance'!Y52</f>
        <v>108080.80808080808</v>
      </c>
      <c r="Z19" s="62">
        <f>'3 Balance'!Z52</f>
        <v>104713.80471380471</v>
      </c>
      <c r="AA19" s="62">
        <f>'3 Balance'!AA52</f>
        <v>101346.80134680135</v>
      </c>
      <c r="AB19" s="62">
        <f>'3 Balance'!AB52</f>
        <v>1398238.447640643</v>
      </c>
      <c r="AC19" s="537">
        <f>'3 Balance'!AC52</f>
        <v>1398238.447640643</v>
      </c>
      <c r="AD19" s="763">
        <f>'3 Balance'!AD52</f>
        <v>728180.4821757694</v>
      </c>
      <c r="AE19" s="62">
        <f>'3 Balance'!AE52</f>
        <v>1398238.447640643</v>
      </c>
      <c r="AF19" s="62">
        <f>'3 Balance'!AF52</f>
        <v>1519862.5202800978</v>
      </c>
      <c r="AG19" s="62">
        <f>'3 Balance'!AG52</f>
        <v>1664339.8817114993</v>
      </c>
      <c r="AH19" s="62">
        <f>'3 Balance'!AH52</f>
        <v>1834502.4350822901</v>
      </c>
      <c r="AI19" s="62">
        <f>'3 Balance'!AI52</f>
        <v>2046278.7688265238</v>
      </c>
      <c r="AJ19" s="62">
        <f>'3 Balance'!AJ52</f>
        <v>1289135.8735757503</v>
      </c>
      <c r="AK19" s="62">
        <f>'3 Balance'!AK52</f>
        <v>1410390.691818753</v>
      </c>
      <c r="AL19" s="62">
        <f>'3 Balance'!AL52</f>
        <v>1552139.3230757976</v>
      </c>
      <c r="AM19" s="537">
        <f>'3 Balance'!AM52</f>
        <v>1694802.5218336028</v>
      </c>
    </row>
    <row r="20" spans="1:41" ht="15.75" thickBot="1" x14ac:dyDescent="0.35">
      <c r="A20" s="888"/>
      <c r="B20" s="894" t="s">
        <v>172</v>
      </c>
      <c r="C20" s="890">
        <f>+'3 Balance'!C59</f>
        <v>1894000</v>
      </c>
      <c r="D20" s="891">
        <f>'3 Balance'!D59</f>
        <v>0</v>
      </c>
      <c r="E20" s="892">
        <f>'3 Balance'!E59</f>
        <v>1894000</v>
      </c>
      <c r="F20" s="892">
        <f>'3 Balance'!F59</f>
        <v>1650351</v>
      </c>
      <c r="G20" s="892">
        <f>'3 Balance'!G59</f>
        <v>1424677</v>
      </c>
      <c r="H20" s="892">
        <f>'3 Balance'!H59</f>
        <v>1026322</v>
      </c>
      <c r="I20" s="892">
        <f>'3 Balance'!I59</f>
        <v>1452069.5880437377</v>
      </c>
      <c r="J20" s="892">
        <f>'3 Balance'!J59</f>
        <v>1667694.5253918432</v>
      </c>
      <c r="K20" s="892">
        <f>'3 Balance'!K59</f>
        <v>1827237.8702968073</v>
      </c>
      <c r="L20" s="892">
        <f>'3 Balance'!L59</f>
        <v>2033473.4578017555</v>
      </c>
      <c r="M20" s="892">
        <f>'3 Balance'!M59</f>
        <v>2607044.0495926375</v>
      </c>
      <c r="N20" s="892">
        <f>'3 Balance'!N59</f>
        <v>3398041.2679595221</v>
      </c>
      <c r="O20" s="892">
        <f>'3 Balance'!O59</f>
        <v>3835357.5264605945</v>
      </c>
      <c r="P20" s="893">
        <f>'3 Balance'!P59</f>
        <v>3835357.5264605945</v>
      </c>
      <c r="Q20" s="891">
        <f>'3 Balance'!Q59</f>
        <v>4007198.9852585737</v>
      </c>
      <c r="R20" s="892">
        <f>'3 Balance'!R59</f>
        <v>4409313.7040801235</v>
      </c>
      <c r="S20" s="892">
        <f>'3 Balance'!S59</f>
        <v>4797268.0616752403</v>
      </c>
      <c r="T20" s="892">
        <f>'3 Balance'!T59</f>
        <v>5193869.7240439272</v>
      </c>
      <c r="U20" s="892">
        <f>'3 Balance'!U59</f>
        <v>5776416.6879361831</v>
      </c>
      <c r="V20" s="892">
        <f>'3 Balance'!V59</f>
        <v>6072661.2228520084</v>
      </c>
      <c r="W20" s="892">
        <f>'3 Balance'!W59</f>
        <v>6300851.0962914024</v>
      </c>
      <c r="X20" s="892">
        <f>'3 Balance'!X59</f>
        <v>6460521.7882543644</v>
      </c>
      <c r="Y20" s="892">
        <f>'3 Balance'!Y59</f>
        <v>6667865.5392408967</v>
      </c>
      <c r="Z20" s="892">
        <f>'3 Balance'!Z59</f>
        <v>7247747.8482509982</v>
      </c>
      <c r="AA20" s="892">
        <f>'3 Balance'!AA59</f>
        <v>8046425.4472846687</v>
      </c>
      <c r="AB20" s="892">
        <f>'3 Balance'!AB59</f>
        <v>7784562.9736810625</v>
      </c>
      <c r="AC20" s="890">
        <f>'3 Balance'!AC59</f>
        <v>7784562.9736810625</v>
      </c>
      <c r="AD20" s="894">
        <f>'3 Balance'!AD59</f>
        <v>3835357.5264605945</v>
      </c>
      <c r="AE20" s="892">
        <f>'3 Balance'!AE59</f>
        <v>7784562.9736810625</v>
      </c>
      <c r="AF20" s="892">
        <f>'3 Balance'!AF59</f>
        <v>12225887.667176977</v>
      </c>
      <c r="AG20" s="892">
        <f>'3 Balance'!AG59</f>
        <v>17196529.452375222</v>
      </c>
      <c r="AH20" s="892">
        <f>'3 Balance'!AH59</f>
        <v>22751491.13725834</v>
      </c>
      <c r="AI20" s="892">
        <f>'3 Balance'!AI59</f>
        <v>28816543.244382691</v>
      </c>
      <c r="AJ20" s="892">
        <f>'3 Balance'!AJ59</f>
        <v>36551358.485837191</v>
      </c>
      <c r="AK20" s="892">
        <f>'3 Balance'!AK59</f>
        <v>45013702.636749707</v>
      </c>
      <c r="AL20" s="892">
        <f>'3 Balance'!AL59</f>
        <v>54326538.575204492</v>
      </c>
      <c r="AM20" s="890">
        <f>'3 Balance'!AM59</f>
        <v>64495353.706206113</v>
      </c>
    </row>
    <row r="21" spans="1:41" ht="15.75" thickBot="1" x14ac:dyDescent="0.35">
      <c r="A21" s="151"/>
      <c r="B21" s="152"/>
      <c r="C21" s="153"/>
      <c r="D21" s="895" t="str">
        <f t="shared" ref="D21:AB21" si="8">IF(D18-D19-D20&lt;-0.01,"no cuadra",IF(D18-D19-D20&gt;0.01, "no cuadra", " "))</f>
        <v xml:space="preserve"> </v>
      </c>
      <c r="E21" s="896" t="str">
        <f t="shared" si="8"/>
        <v xml:space="preserve"> </v>
      </c>
      <c r="F21" s="896" t="str">
        <f t="shared" si="8"/>
        <v xml:space="preserve"> </v>
      </c>
      <c r="G21" s="896" t="str">
        <f t="shared" si="8"/>
        <v xml:space="preserve"> </v>
      </c>
      <c r="H21" s="896" t="str">
        <f t="shared" si="8"/>
        <v xml:space="preserve"> </v>
      </c>
      <c r="I21" s="896" t="str">
        <f t="shared" si="8"/>
        <v xml:space="preserve"> </v>
      </c>
      <c r="J21" s="896" t="str">
        <f t="shared" si="8"/>
        <v xml:space="preserve"> </v>
      </c>
      <c r="K21" s="896" t="str">
        <f t="shared" si="8"/>
        <v xml:space="preserve"> </v>
      </c>
      <c r="L21" s="896" t="str">
        <f t="shared" si="8"/>
        <v xml:space="preserve"> </v>
      </c>
      <c r="M21" s="896" t="str">
        <f t="shared" si="8"/>
        <v xml:space="preserve"> </v>
      </c>
      <c r="N21" s="896" t="str">
        <f t="shared" si="8"/>
        <v xml:space="preserve"> </v>
      </c>
      <c r="O21" s="896" t="str">
        <f t="shared" si="8"/>
        <v xml:space="preserve"> </v>
      </c>
      <c r="P21" s="896" t="str">
        <f t="shared" si="8"/>
        <v xml:space="preserve"> </v>
      </c>
      <c r="Q21" s="895" t="str">
        <f t="shared" si="8"/>
        <v xml:space="preserve"> </v>
      </c>
      <c r="R21" s="896" t="str">
        <f t="shared" si="8"/>
        <v xml:space="preserve"> </v>
      </c>
      <c r="S21" s="896" t="str">
        <f t="shared" si="8"/>
        <v xml:space="preserve"> </v>
      </c>
      <c r="T21" s="896" t="str">
        <f t="shared" si="8"/>
        <v xml:space="preserve"> </v>
      </c>
      <c r="U21" s="896" t="str">
        <f t="shared" si="8"/>
        <v xml:space="preserve"> </v>
      </c>
      <c r="V21" s="896" t="str">
        <f t="shared" si="8"/>
        <v xml:space="preserve"> </v>
      </c>
      <c r="W21" s="896" t="str">
        <f t="shared" si="8"/>
        <v xml:space="preserve"> </v>
      </c>
      <c r="X21" s="896" t="str">
        <f t="shared" si="8"/>
        <v xml:space="preserve"> </v>
      </c>
      <c r="Y21" s="896" t="str">
        <f t="shared" si="8"/>
        <v xml:space="preserve"> </v>
      </c>
      <c r="Z21" s="896" t="str">
        <f t="shared" si="8"/>
        <v xml:space="preserve"> </v>
      </c>
      <c r="AA21" s="896" t="str">
        <f t="shared" si="8"/>
        <v xml:space="preserve"> </v>
      </c>
      <c r="AB21" s="896" t="str">
        <f t="shared" si="8"/>
        <v xml:space="preserve"> </v>
      </c>
      <c r="AC21" s="897" t="str">
        <f t="shared" ref="AC21:AM21" si="9">IF(AC18-AC19-AC20&lt;-0.01,"no cuadra",IF(AC18-AC19-AC20&gt;0.01, "no cuadra", " "))</f>
        <v xml:space="preserve"> </v>
      </c>
      <c r="AD21" s="896" t="str">
        <f t="shared" si="9"/>
        <v xml:space="preserve"> </v>
      </c>
      <c r="AE21" s="896" t="str">
        <f t="shared" si="9"/>
        <v xml:space="preserve"> </v>
      </c>
      <c r="AF21" s="896" t="str">
        <f t="shared" si="9"/>
        <v xml:space="preserve"> </v>
      </c>
      <c r="AG21" s="896" t="str">
        <f t="shared" si="9"/>
        <v xml:space="preserve"> </v>
      </c>
      <c r="AH21" s="896" t="str">
        <f t="shared" si="9"/>
        <v xml:space="preserve"> </v>
      </c>
      <c r="AI21" s="896" t="str">
        <f t="shared" si="9"/>
        <v xml:space="preserve"> </v>
      </c>
      <c r="AJ21" s="896" t="str">
        <f t="shared" si="9"/>
        <v xml:space="preserve"> </v>
      </c>
      <c r="AK21" s="896" t="str">
        <f t="shared" si="9"/>
        <v xml:space="preserve"> </v>
      </c>
      <c r="AL21" s="896" t="str">
        <f t="shared" si="9"/>
        <v xml:space="preserve"> </v>
      </c>
      <c r="AM21" s="897" t="str">
        <f t="shared" si="9"/>
        <v xml:space="preserve"> </v>
      </c>
    </row>
    <row r="22" spans="1:41" ht="19.5" x14ac:dyDescent="0.4">
      <c r="A22" s="883" t="s">
        <v>174</v>
      </c>
      <c r="B22" s="155"/>
      <c r="C22" s="884"/>
      <c r="D22" s="1439" t="str">
        <f>+A22</f>
        <v>Razones de Liquidez</v>
      </c>
      <c r="E22" s="1440"/>
      <c r="F22" s="1440"/>
      <c r="G22" s="1440"/>
      <c r="H22" s="1440"/>
      <c r="I22" s="1440"/>
      <c r="J22" s="1440"/>
      <c r="K22" s="1440"/>
      <c r="L22" s="1440"/>
      <c r="M22" s="1440"/>
      <c r="N22" s="1440"/>
      <c r="O22" s="1440"/>
      <c r="P22" s="1440"/>
      <c r="Q22" s="1439" t="str">
        <f>+D22</f>
        <v>Razones de Liquidez</v>
      </c>
      <c r="R22" s="1440"/>
      <c r="S22" s="1440"/>
      <c r="T22" s="1440"/>
      <c r="U22" s="1440"/>
      <c r="V22" s="1440"/>
      <c r="W22" s="1440"/>
      <c r="X22" s="1440"/>
      <c r="Y22" s="1440"/>
      <c r="Z22" s="1440"/>
      <c r="AA22" s="1440"/>
      <c r="AB22" s="1440"/>
      <c r="AC22" s="1441"/>
      <c r="AD22" s="1437" t="str">
        <f>+Q22</f>
        <v>Razones de Liquidez</v>
      </c>
      <c r="AE22" s="1437"/>
      <c r="AF22" s="1437"/>
      <c r="AG22" s="1437"/>
      <c r="AH22" s="1437"/>
      <c r="AI22" s="1437"/>
      <c r="AJ22" s="1437"/>
      <c r="AK22" s="1437"/>
      <c r="AL22" s="1437"/>
      <c r="AM22" s="1438"/>
    </row>
    <row r="23" spans="1:41" ht="15.75" thickBot="1" x14ac:dyDescent="0.35">
      <c r="A23" s="888"/>
      <c r="B23" s="898" t="s">
        <v>210</v>
      </c>
      <c r="C23" s="899"/>
      <c r="D23" s="900" t="str">
        <f>IF('3 Balance'!D46=0, "sin pasivo",(+'3 Balance'!D19-'3 Balance'!D18)/'3 Balance'!D46)</f>
        <v>sin pasivo</v>
      </c>
      <c r="E23" s="901" t="str">
        <f>IF('3 Balance'!E46=0, "sin pasivo",(+'3 Balance'!E19-'3 Balance'!E18)/'3 Balance'!E46)</f>
        <v>sin pasivo</v>
      </c>
      <c r="F23" s="901">
        <f>IF('3 Balance'!F46=0, "sin pasivo",(+'3 Balance'!F19-'3 Balance'!F18)/'3 Balance'!F46)</f>
        <v>-25.219709999999999</v>
      </c>
      <c r="G23" s="901">
        <f>IF('3 Balance'!G46=0, "sin pasivo",(+'3 Balance'!G19-'3 Balance'!G18)/'3 Balance'!G46)</f>
        <v>-37.218574285714283</v>
      </c>
      <c r="H23" s="901">
        <f>IF('3 Balance'!H46=0, "sin pasivo",(+'3 Balance'!H19-'3 Balance'!H18)/'3 Balance'!H46)</f>
        <v>-28.37801609467455</v>
      </c>
      <c r="I23" s="901">
        <f>IF('3 Balance'!I46=0, "sin pasivo",(+'3 Balance'!I19-'3 Balance'!I18)/'3 Balance'!I46)</f>
        <v>-11.258041518625388</v>
      </c>
      <c r="J23" s="901">
        <f>IF('3 Balance'!J46=0, "sin pasivo",(+'3 Balance'!J19-'3 Balance'!J18)/'3 Balance'!J46)</f>
        <v>-3.3865240151792038</v>
      </c>
      <c r="K23" s="901">
        <f>IF('3 Balance'!K46=0, "sin pasivo",(+'3 Balance'!K19-'3 Balance'!K18)/'3 Balance'!K46)</f>
        <v>1.6553630985285284</v>
      </c>
      <c r="L23" s="901">
        <f>IF('3 Balance'!L46=0, "sin pasivo",(+'3 Balance'!L19-'3 Balance'!L18)/'3 Balance'!L46)</f>
        <v>7.226215580593446</v>
      </c>
      <c r="M23" s="901">
        <f>IF('3 Balance'!M46=0, "sin pasivo",(+'3 Balance'!M19-'3 Balance'!M18)/'3 Balance'!M46)</f>
        <v>21.918646894084446</v>
      </c>
      <c r="N23" s="901">
        <f>IF('3 Balance'!N46=0, "sin pasivo",(+'3 Balance'!N19-'3 Balance'!N18)/'3 Balance'!N46)</f>
        <v>41.992387215331512</v>
      </c>
      <c r="O23" s="901">
        <f>IF('3 Balance'!O46=0, "sin pasivo",(+'3 Balance'!O19-'3 Balance'!O18)/'3 Balance'!O46)</f>
        <v>4.2349017948803827</v>
      </c>
      <c r="P23" s="902">
        <f>IF('3 Balance'!P46=0, "sin pasivo",(+'3 Balance'!P19-'3 Balance'!P18)/'3 Balance'!P46)</f>
        <v>4.23490179488038</v>
      </c>
      <c r="Q23" s="900">
        <f>IF('3 Balance'!Q46=0, "sin pasivo",(+'3 Balance'!Q19-'3 Balance'!Q18)/'3 Balance'!Q46)</f>
        <v>-1.0394771364539153</v>
      </c>
      <c r="R23" s="901">
        <f>IF('3 Balance'!R46=0, "sin pasivo",(+'3 Balance'!R19-'3 Balance'!R18)/'3 Balance'!R46)</f>
        <v>-0.34706905164741464</v>
      </c>
      <c r="S23" s="901">
        <f>IF('3 Balance'!S46=0, "sin pasivo",(+'3 Balance'!S19-'3 Balance'!S18)/'3 Balance'!S46)</f>
        <v>0.3228694269185004</v>
      </c>
      <c r="T23" s="901">
        <f>IF('3 Balance'!T46=0, "sin pasivo",(+'3 Balance'!T19-'3 Balance'!T18)/'3 Balance'!T46)</f>
        <v>1.1018423367538792</v>
      </c>
      <c r="U23" s="901">
        <f>IF('3 Balance'!U46=0, "sin pasivo",(+'3 Balance'!U19-'3 Balance'!U18)/'3 Balance'!U46)</f>
        <v>16.367352609753883</v>
      </c>
      <c r="V23" s="901">
        <f>IF('3 Balance'!V46=0, "sin pasivo",(+'3 Balance'!V19-'3 Balance'!V18)/'3 Balance'!V46)</f>
        <v>24.546877765587208</v>
      </c>
      <c r="W23" s="901">
        <f>IF('3 Balance'!W46=0, "sin pasivo",(+'3 Balance'!W19-'3 Balance'!W18)/'3 Balance'!W46)</f>
        <v>31.042050049878874</v>
      </c>
      <c r="X23" s="901">
        <f>IF('3 Balance'!X46=0, "sin pasivo",(+'3 Balance'!X19-'3 Balance'!X18)/'3 Balance'!X46)</f>
        <v>35.841372592628872</v>
      </c>
      <c r="Y23" s="901">
        <f>IF('3 Balance'!Y46=0, "sin pasivo",(+'3 Balance'!Y19-'3 Balance'!Y18)/'3 Balance'!Y46)</f>
        <v>41.820603346212209</v>
      </c>
      <c r="Z23" s="901">
        <f>IF('3 Balance'!Z46=0, "sin pasivo",(+'3 Balance'!Z19-'3 Balance'!Z18)/'3 Balance'!Z46)</f>
        <v>57.020163410878894</v>
      </c>
      <c r="AA23" s="901">
        <f>IF('3 Balance'!AA46=0, "sin pasivo",(+'3 Balance'!AA19-'3 Balance'!AA18)/'3 Balance'!AA46)</f>
        <v>77.634906903628874</v>
      </c>
      <c r="AB23" s="901">
        <f>IF('3 Balance'!AB46=0, "sin pasivo",(+'3 Balance'!AB19-'3 Balance'!AB18)/'3 Balance'!AB46)</f>
        <v>3.0055296169439085</v>
      </c>
      <c r="AC23" s="903">
        <f>IF('3 Balance'!AC46=0, "sin pasivo",(+'3 Balance'!AC19-'3 Balance'!AC18)/'3 Balance'!AC46)</f>
        <v>3.0055296169439085</v>
      </c>
      <c r="AD23" s="904">
        <f>IF('3 Balance'!AD46=0, "sin pasivo",(+'3 Balance'!AD19-'3 Balance'!AD18)/'3 Balance'!AD46)</f>
        <v>4.23490179488038</v>
      </c>
      <c r="AE23" s="901">
        <f>IF('3 Balance'!AE46=0, "sin pasivo",(+'3 Balance'!AE19-'3 Balance'!AE18)/'3 Balance'!AE46)</f>
        <v>3.0055296169439085</v>
      </c>
      <c r="AF23" s="901">
        <f>IF('3 Balance'!AF46=0, "sin pasivo",(+'3 Balance'!AF19-'3 Balance'!AF18)/'3 Balance'!AF46)</f>
        <v>5.9517063170044882</v>
      </c>
      <c r="AG23" s="901">
        <f>IF('3 Balance'!AG46=0, "sin pasivo",(+'3 Balance'!AG19-'3 Balance'!AG18)/'3 Balance'!AG46)</f>
        <v>8.5554638480183876</v>
      </c>
      <c r="AH23" s="901">
        <f>IF('3 Balance'!AH46=0, "sin pasivo",(+'3 Balance'!AH19-'3 Balance'!AH18)/'3 Balance'!AH46)</f>
        <v>10.984391836708966</v>
      </c>
      <c r="AI23" s="901">
        <f>IF('3 Balance'!AI46=0, "sin pasivo",(+'3 Balance'!AI19-'3 Balance'!AI18)/'3 Balance'!AI46)</f>
        <v>13.089527400301114</v>
      </c>
      <c r="AJ23" s="901">
        <f>IF('3 Balance'!AJ46=0, "sin pasivo",(+'3 Balance'!AJ19-'3 Balance'!AJ18)/'3 Balance'!AJ46)</f>
        <v>26.209490443931518</v>
      </c>
      <c r="AK23" s="901">
        <f>IF('3 Balance'!AK46=0, "sin pasivo",(+'3 Balance'!AK19-'3 Balance'!AK18)/'3 Balance'!AK46)</f>
        <v>30.175676552208639</v>
      </c>
      <c r="AL23" s="901">
        <f>IF('3 Balance'!AL46=0, "sin pasivo",(+'3 Balance'!AL19-'3 Balance'!AL18)/'3 Balance'!AL46)</f>
        <v>33.799915457536756</v>
      </c>
      <c r="AM23" s="903">
        <f>IF('3 Balance'!AM46=0, "sin pasivo",(+'3 Balance'!AM19-'3 Balance'!AM18)/'3 Balance'!AM46)</f>
        <v>36.986466222755695</v>
      </c>
    </row>
    <row r="24" spans="1:41" ht="15.75" thickBot="1" x14ac:dyDescent="0.35">
      <c r="A24" s="151"/>
      <c r="B24" s="152"/>
      <c r="C24" s="153"/>
      <c r="D24" s="151"/>
      <c r="E24" s="152"/>
      <c r="F24" s="152"/>
      <c r="G24" s="152"/>
      <c r="H24" s="152"/>
      <c r="I24" s="152"/>
      <c r="J24" s="152"/>
      <c r="K24" s="152"/>
      <c r="L24" s="152"/>
      <c r="M24" s="152"/>
      <c r="N24" s="152"/>
      <c r="O24" s="152"/>
      <c r="P24" s="152"/>
      <c r="Q24" s="151"/>
      <c r="R24" s="152"/>
      <c r="S24" s="152"/>
      <c r="T24" s="152"/>
      <c r="U24" s="152"/>
      <c r="V24" s="152"/>
      <c r="W24" s="152"/>
      <c r="X24" s="152"/>
      <c r="Y24" s="152"/>
      <c r="Z24" s="152"/>
      <c r="AA24" s="152"/>
      <c r="AB24" s="152"/>
      <c r="AC24" s="153"/>
      <c r="AD24" s="152"/>
      <c r="AE24" s="152"/>
      <c r="AF24" s="152"/>
      <c r="AG24" s="152"/>
      <c r="AH24" s="152"/>
      <c r="AI24" s="152"/>
      <c r="AJ24" s="152"/>
      <c r="AK24" s="152"/>
      <c r="AL24" s="152"/>
      <c r="AM24" s="153"/>
    </row>
    <row r="25" spans="1:41" ht="19.5" x14ac:dyDescent="0.4">
      <c r="A25" s="883" t="s">
        <v>175</v>
      </c>
      <c r="B25" s="155"/>
      <c r="C25" s="884"/>
      <c r="D25" s="1439" t="str">
        <f>+A25</f>
        <v>Razones de Rentabilidad</v>
      </c>
      <c r="E25" s="1440"/>
      <c r="F25" s="1440"/>
      <c r="G25" s="1440"/>
      <c r="H25" s="1440"/>
      <c r="I25" s="1440"/>
      <c r="J25" s="1440"/>
      <c r="K25" s="1440"/>
      <c r="L25" s="1440"/>
      <c r="M25" s="1440"/>
      <c r="N25" s="1440"/>
      <c r="O25" s="1440"/>
      <c r="P25" s="1440"/>
      <c r="Q25" s="1439" t="str">
        <f>+D25</f>
        <v>Razones de Rentabilidad</v>
      </c>
      <c r="R25" s="1440"/>
      <c r="S25" s="1440"/>
      <c r="T25" s="1440"/>
      <c r="U25" s="1440"/>
      <c r="V25" s="1440"/>
      <c r="W25" s="1440"/>
      <c r="X25" s="1440"/>
      <c r="Y25" s="1440"/>
      <c r="Z25" s="1440"/>
      <c r="AA25" s="1440"/>
      <c r="AB25" s="1440"/>
      <c r="AC25" s="1441"/>
      <c r="AD25" s="1437" t="str">
        <f>+Q25</f>
        <v>Razones de Rentabilidad</v>
      </c>
      <c r="AE25" s="1437"/>
      <c r="AF25" s="1437"/>
      <c r="AG25" s="1437"/>
      <c r="AH25" s="1437"/>
      <c r="AI25" s="1437"/>
      <c r="AJ25" s="1437"/>
      <c r="AK25" s="1437"/>
      <c r="AL25" s="1437"/>
      <c r="AM25" s="1438"/>
    </row>
    <row r="26" spans="1:41" x14ac:dyDescent="0.3">
      <c r="A26" s="151"/>
      <c r="B26" s="40" t="s">
        <v>211</v>
      </c>
      <c r="C26" s="885"/>
      <c r="D26" s="905" t="str">
        <f>IF(D13=0, "sin ventas",D14/D13)</f>
        <v>sin ventas</v>
      </c>
      <c r="E26" s="906" t="str">
        <f t="shared" ref="E26:AM26" si="10">IF(E13=0, "sin ventas",E14/E13)</f>
        <v>sin ventas</v>
      </c>
      <c r="F26" s="906" t="str">
        <f t="shared" si="10"/>
        <v>sin ventas</v>
      </c>
      <c r="G26" s="906" t="str">
        <f t="shared" si="10"/>
        <v>sin ventas</v>
      </c>
      <c r="H26" s="906" t="str">
        <f t="shared" si="10"/>
        <v>sin ventas</v>
      </c>
      <c r="I26" s="906">
        <f t="shared" si="10"/>
        <v>0.21637444134003261</v>
      </c>
      <c r="J26" s="906">
        <f t="shared" si="10"/>
        <v>0.18713056605492229</v>
      </c>
      <c r="K26" s="906">
        <f t="shared" si="10"/>
        <v>0.16153670788020588</v>
      </c>
      <c r="L26" s="906">
        <f t="shared" si="10"/>
        <v>0.18494806520038415</v>
      </c>
      <c r="M26" s="906">
        <f t="shared" si="10"/>
        <v>0.29036844247558974</v>
      </c>
      <c r="N26" s="906">
        <f t="shared" si="10"/>
        <v>0.3310304324615545</v>
      </c>
      <c r="O26" s="906">
        <f t="shared" si="10"/>
        <v>0.14759338858212759</v>
      </c>
      <c r="P26" s="907">
        <f t="shared" si="10"/>
        <v>0.15107723527844144</v>
      </c>
      <c r="Q26" s="905">
        <f t="shared" si="10"/>
        <v>0.15817134236292185</v>
      </c>
      <c r="R26" s="906">
        <f t="shared" si="10"/>
        <v>0.2458695421659382</v>
      </c>
      <c r="S26" s="906">
        <f t="shared" si="10"/>
        <v>0.22553197806101519</v>
      </c>
      <c r="T26" s="906">
        <f t="shared" si="10"/>
        <v>0.23824426985807329</v>
      </c>
      <c r="U26" s="906">
        <f t="shared" si="10"/>
        <v>0.26810245883854761</v>
      </c>
      <c r="V26" s="906">
        <f t="shared" si="10"/>
        <v>0.211325497143629</v>
      </c>
      <c r="W26" s="906">
        <f t="shared" si="10"/>
        <v>0.18003188444579662</v>
      </c>
      <c r="X26" s="906">
        <f t="shared" si="10"/>
        <v>0.1469687691227593</v>
      </c>
      <c r="Y26" s="906">
        <f t="shared" si="10"/>
        <v>0.16903804060502683</v>
      </c>
      <c r="Z26" s="906">
        <f t="shared" si="10"/>
        <v>0.26687611904082792</v>
      </c>
      <c r="AA26" s="906">
        <f t="shared" si="10"/>
        <v>0.30385877571712228</v>
      </c>
      <c r="AB26" s="906">
        <f t="shared" si="10"/>
        <v>-8.0343706061160383E-2</v>
      </c>
      <c r="AC26" s="908">
        <f t="shared" si="10"/>
        <v>0.18521244646467311</v>
      </c>
      <c r="AD26" s="909">
        <f t="shared" si="10"/>
        <v>0.15107723527844144</v>
      </c>
      <c r="AE26" s="906">
        <f t="shared" si="10"/>
        <v>0.18521244646467311</v>
      </c>
      <c r="AF26" s="906">
        <f t="shared" si="10"/>
        <v>0.18935652730884878</v>
      </c>
      <c r="AG26" s="906">
        <f t="shared" si="10"/>
        <v>0.1926582171469059</v>
      </c>
      <c r="AH26" s="906">
        <f t="shared" si="10"/>
        <v>0.1957327298926671</v>
      </c>
      <c r="AI26" s="906">
        <f t="shared" si="10"/>
        <v>0.20276986132540484</v>
      </c>
      <c r="AJ26" s="906">
        <f t="shared" si="10"/>
        <v>0.23366024023347157</v>
      </c>
      <c r="AK26" s="906">
        <f t="shared" si="10"/>
        <v>0.23670193188268274</v>
      </c>
      <c r="AL26" s="906">
        <f t="shared" si="10"/>
        <v>0.24119556378969609</v>
      </c>
      <c r="AM26" s="908">
        <f t="shared" si="10"/>
        <v>0.24385628876300311</v>
      </c>
    </row>
    <row r="27" spans="1:41" x14ac:dyDescent="0.3">
      <c r="A27" s="151"/>
      <c r="B27" s="40" t="s">
        <v>212</v>
      </c>
      <c r="C27" s="885"/>
      <c r="D27" s="905" t="str">
        <f t="shared" ref="D27:L27" si="11">IF(D20=0, "no inicia",D14/D20)</f>
        <v>no inicia</v>
      </c>
      <c r="E27" s="906">
        <f t="shared" si="11"/>
        <v>0</v>
      </c>
      <c r="F27" s="906">
        <f t="shared" si="11"/>
        <v>-0.14763465468860867</v>
      </c>
      <c r="G27" s="906">
        <f t="shared" si="11"/>
        <v>-0.15840362411971276</v>
      </c>
      <c r="H27" s="906">
        <f t="shared" si="11"/>
        <v>-0.38813842049571184</v>
      </c>
      <c r="I27" s="906">
        <f t="shared" si="11"/>
        <v>0.189899706125814</v>
      </c>
      <c r="J27" s="906">
        <f t="shared" si="11"/>
        <v>0.1292952240743501</v>
      </c>
      <c r="K27" s="906">
        <f t="shared" si="11"/>
        <v>8.7313943903236171E-2</v>
      </c>
      <c r="L27" s="906">
        <f t="shared" si="11"/>
        <v>0.10142034886843082</v>
      </c>
      <c r="M27" s="906">
        <f>IF(M20&lt;0, "negativos",IF(M20=0, "no inicia",M14/M20))</f>
        <v>0.22000801707992043</v>
      </c>
      <c r="N27" s="906">
        <f t="shared" ref="N27:AM27" si="12">IF(N20&lt;0, "negativos",IF(N20=0, "no inicia",N14/N20))</f>
        <v>0.23278034490789679</v>
      </c>
      <c r="O27" s="906">
        <f t="shared" si="12"/>
        <v>0.11402229270256417</v>
      </c>
      <c r="P27" s="907">
        <f t="shared" si="12"/>
        <v>0.4670640257399219</v>
      </c>
      <c r="Q27" s="905">
        <f t="shared" si="12"/>
        <v>4.2883185843812364E-2</v>
      </c>
      <c r="R27" s="906">
        <f t="shared" si="12"/>
        <v>9.1196668191118935E-2</v>
      </c>
      <c r="S27" s="906">
        <f t="shared" si="12"/>
        <v>8.0869851883916058E-2</v>
      </c>
      <c r="T27" s="906">
        <f t="shared" si="12"/>
        <v>7.6359570694024687E-2</v>
      </c>
      <c r="U27" s="906">
        <f t="shared" si="12"/>
        <v>0.10084919342970565</v>
      </c>
      <c r="V27" s="906">
        <f t="shared" si="12"/>
        <v>4.8783313286278544E-2</v>
      </c>
      <c r="W27" s="906">
        <f t="shared" si="12"/>
        <v>3.6215722281344405E-2</v>
      </c>
      <c r="X27" s="906">
        <f t="shared" si="12"/>
        <v>2.4714829110746794E-2</v>
      </c>
      <c r="Y27" s="906">
        <f t="shared" si="12"/>
        <v>3.1095970632025825E-2</v>
      </c>
      <c r="Z27" s="906">
        <f t="shared" si="12"/>
        <v>8.0008620767627311E-2</v>
      </c>
      <c r="AA27" s="906">
        <f t="shared" si="12"/>
        <v>9.9258683780285351E-2</v>
      </c>
      <c r="AB27" s="906">
        <f t="shared" si="12"/>
        <v>-3.3638686524720934E-2</v>
      </c>
      <c r="AC27" s="908">
        <f t="shared" si="12"/>
        <v>0.50731241568375662</v>
      </c>
      <c r="AD27" s="909">
        <f t="shared" si="12"/>
        <v>0.4670640257399219</v>
      </c>
      <c r="AE27" s="906">
        <f t="shared" si="12"/>
        <v>0.50731241568375662</v>
      </c>
      <c r="AF27" s="906">
        <f t="shared" si="12"/>
        <v>0.36327216594829387</v>
      </c>
      <c r="AG27" s="906">
        <f t="shared" si="12"/>
        <v>0.28904912464832772</v>
      </c>
      <c r="AH27" s="906">
        <f t="shared" si="12"/>
        <v>0.24415813677311862</v>
      </c>
      <c r="AI27" s="906">
        <f t="shared" si="12"/>
        <v>0.2156765318593816</v>
      </c>
      <c r="AJ27" s="906">
        <f t="shared" si="12"/>
        <v>0.21161498674396911</v>
      </c>
      <c r="AK27" s="906">
        <f t="shared" si="12"/>
        <v>0.18799484724022153</v>
      </c>
      <c r="AL27" s="906">
        <f t="shared" si="12"/>
        <v>0.17142332610723915</v>
      </c>
      <c r="AM27" s="908">
        <f t="shared" si="12"/>
        <v>0.15766740620298539</v>
      </c>
    </row>
    <row r="28" spans="1:41" ht="15.75" thickBot="1" x14ac:dyDescent="0.35">
      <c r="A28" s="888"/>
      <c r="B28" s="898" t="s">
        <v>213</v>
      </c>
      <c r="C28" s="910"/>
      <c r="D28" s="911" t="str">
        <f>IF(D18=0,"no inicia",+D14/D18)</f>
        <v>no inicia</v>
      </c>
      <c r="E28" s="912">
        <f t="shared" ref="E28:AM28" si="13">IF(E18=0,"no inicia",+E14/E18)</f>
        <v>0</v>
      </c>
      <c r="F28" s="912">
        <f t="shared" si="13"/>
        <v>-0.13920008044100868</v>
      </c>
      <c r="G28" s="912">
        <f t="shared" si="13"/>
        <v>-0.14801430073386035</v>
      </c>
      <c r="H28" s="912">
        <f t="shared" si="13"/>
        <v>-0.33864452080297741</v>
      </c>
      <c r="I28" s="912">
        <f t="shared" si="13"/>
        <v>0.17211960710174187</v>
      </c>
      <c r="J28" s="912">
        <f t="shared" si="13"/>
        <v>0.11862550848670393</v>
      </c>
      <c r="K28" s="912">
        <f t="shared" si="13"/>
        <v>8.0690010697101799E-2</v>
      </c>
      <c r="L28" s="912">
        <f t="shared" si="13"/>
        <v>9.4518573939175426E-2</v>
      </c>
      <c r="M28" s="912">
        <f t="shared" si="13"/>
        <v>0.2084072862476789</v>
      </c>
      <c r="N28" s="912">
        <f t="shared" si="13"/>
        <v>0.22345866476085402</v>
      </c>
      <c r="O28" s="912">
        <f t="shared" si="13"/>
        <v>9.582833706511569E-2</v>
      </c>
      <c r="P28" s="913">
        <f t="shared" si="13"/>
        <v>0.3925370015699447</v>
      </c>
      <c r="Q28" s="911">
        <f t="shared" si="13"/>
        <v>3.6314667406914573E-2</v>
      </c>
      <c r="R28" s="912">
        <f t="shared" si="13"/>
        <v>7.8373321837665766E-2</v>
      </c>
      <c r="S28" s="912">
        <f t="shared" si="13"/>
        <v>7.0340872487384215E-2</v>
      </c>
      <c r="T28" s="912">
        <f t="shared" si="13"/>
        <v>7.456620664960896E-2</v>
      </c>
      <c r="U28" s="912">
        <f t="shared" si="13"/>
        <v>9.8770832578694095E-2</v>
      </c>
      <c r="V28" s="912">
        <f t="shared" si="13"/>
        <v>4.7852050674241316E-2</v>
      </c>
      <c r="W28" s="912">
        <f t="shared" si="13"/>
        <v>3.5567605389858648E-2</v>
      </c>
      <c r="X28" s="912">
        <f t="shared" si="13"/>
        <v>2.42957137187912E-2</v>
      </c>
      <c r="Y28" s="912">
        <f t="shared" si="13"/>
        <v>3.0599969415119065E-2</v>
      </c>
      <c r="Z28" s="912">
        <f t="shared" si="13"/>
        <v>7.8869137491695662E-2</v>
      </c>
      <c r="AA28" s="912">
        <f t="shared" si="13"/>
        <v>9.802404567307571E-2</v>
      </c>
      <c r="AB28" s="912">
        <f t="shared" si="13"/>
        <v>-2.8516621626553277E-2</v>
      </c>
      <c r="AC28" s="914">
        <f t="shared" si="13"/>
        <v>0.43006543058317037</v>
      </c>
      <c r="AD28" s="915">
        <f t="shared" si="13"/>
        <v>0.3925370015699447</v>
      </c>
      <c r="AE28" s="912">
        <f t="shared" si="13"/>
        <v>0.43006543058317037</v>
      </c>
      <c r="AF28" s="912">
        <f t="shared" si="13"/>
        <v>0.32310529675918309</v>
      </c>
      <c r="AG28" s="912">
        <f t="shared" si="13"/>
        <v>0.26354255984452118</v>
      </c>
      <c r="AH28" s="912">
        <f t="shared" si="13"/>
        <v>0.22594009343321717</v>
      </c>
      <c r="AI28" s="912">
        <f t="shared" si="13"/>
        <v>0.20137666297865839</v>
      </c>
      <c r="AJ28" s="912">
        <f t="shared" si="13"/>
        <v>0.20440576616120348</v>
      </c>
      <c r="AK28" s="912">
        <f t="shared" si="13"/>
        <v>0.1822834555113424</v>
      </c>
      <c r="AL28" s="912">
        <f t="shared" si="13"/>
        <v>0.16666170870054525</v>
      </c>
      <c r="AM28" s="914">
        <f t="shared" si="13"/>
        <v>0.15363032375943941</v>
      </c>
    </row>
    <row r="29" spans="1:41" ht="15.75" thickBot="1" x14ac:dyDescent="0.35">
      <c r="A29" s="151"/>
      <c r="B29" s="152"/>
      <c r="C29" s="153"/>
      <c r="D29" s="151"/>
      <c r="E29" s="152"/>
      <c r="F29" s="152"/>
      <c r="G29" s="152"/>
      <c r="H29" s="152"/>
      <c r="I29" s="152"/>
      <c r="J29" s="152"/>
      <c r="K29" s="152"/>
      <c r="L29" s="152"/>
      <c r="M29" s="152"/>
      <c r="N29" s="152"/>
      <c r="O29" s="152"/>
      <c r="P29" s="152"/>
      <c r="Q29" s="151"/>
      <c r="R29" s="152"/>
      <c r="S29" s="152"/>
      <c r="T29" s="152"/>
      <c r="U29" s="152"/>
      <c r="V29" s="152"/>
      <c r="W29" s="152"/>
      <c r="X29" s="152"/>
      <c r="Y29" s="152"/>
      <c r="Z29" s="152"/>
      <c r="AA29" s="152"/>
      <c r="AB29" s="152"/>
      <c r="AC29" s="153"/>
      <c r="AD29" s="152"/>
      <c r="AE29" s="152"/>
      <c r="AF29" s="152"/>
      <c r="AG29" s="152"/>
      <c r="AH29" s="152"/>
      <c r="AI29" s="152"/>
      <c r="AJ29" s="152"/>
      <c r="AK29" s="152"/>
      <c r="AL29" s="152"/>
      <c r="AM29" s="153"/>
    </row>
    <row r="30" spans="1:41" ht="19.5" x14ac:dyDescent="0.4">
      <c r="A30" s="916" t="s">
        <v>176</v>
      </c>
      <c r="B30" s="155"/>
      <c r="C30" s="884"/>
      <c r="D30" s="1440" t="str">
        <f>+A30</f>
        <v>Costo-Beneficio</v>
      </c>
      <c r="E30" s="1440"/>
      <c r="F30" s="1440"/>
      <c r="G30" s="1440"/>
      <c r="H30" s="1440"/>
      <c r="I30" s="1440"/>
      <c r="J30" s="1440"/>
      <c r="K30" s="1440"/>
      <c r="L30" s="1440"/>
      <c r="M30" s="1440"/>
      <c r="N30" s="1440"/>
      <c r="O30" s="1440"/>
      <c r="P30" s="1440"/>
      <c r="Q30" s="1439" t="str">
        <f>+D30</f>
        <v>Costo-Beneficio</v>
      </c>
      <c r="R30" s="1440"/>
      <c r="S30" s="1440"/>
      <c r="T30" s="1440"/>
      <c r="U30" s="1440"/>
      <c r="V30" s="1440"/>
      <c r="W30" s="1440"/>
      <c r="X30" s="1440"/>
      <c r="Y30" s="1440"/>
      <c r="Z30" s="1440"/>
      <c r="AA30" s="1440"/>
      <c r="AB30" s="1440"/>
      <c r="AC30" s="1441"/>
      <c r="AD30" s="1437" t="str">
        <f>+Q30</f>
        <v>Costo-Beneficio</v>
      </c>
      <c r="AE30" s="1437"/>
      <c r="AF30" s="1437"/>
      <c r="AG30" s="1437"/>
      <c r="AH30" s="1437"/>
      <c r="AI30" s="1437"/>
      <c r="AJ30" s="1437"/>
      <c r="AK30" s="1437"/>
      <c r="AL30" s="1437"/>
      <c r="AM30" s="1438"/>
    </row>
    <row r="31" spans="1:41" x14ac:dyDescent="0.3">
      <c r="A31" s="151"/>
      <c r="B31" s="1405" t="s">
        <v>380</v>
      </c>
      <c r="C31" s="918"/>
      <c r="D31" s="1417">
        <f>+'10 Gastos  Admon y Ventas'!E37+'13 Costo Personal d Operaciones'!E14</f>
        <v>0</v>
      </c>
      <c r="E31" s="1418">
        <f>+'10 Gastos  Admon y Ventas'!F37+'13 Costo Personal d Operaciones'!F14</f>
        <v>0</v>
      </c>
      <c r="F31" s="1418">
        <f>+'10 Gastos  Admon y Ventas'!G37+'13 Costo Personal d Operaciones'!G14</f>
        <v>81000</v>
      </c>
      <c r="G31" s="1418">
        <f>+'10 Gastos  Admon y Ventas'!H37+'13 Costo Personal d Operaciones'!H14</f>
        <v>81000</v>
      </c>
      <c r="H31" s="1418">
        <f>+'10 Gastos  Admon y Ventas'!I37+'13 Costo Personal d Operaciones'!I14</f>
        <v>156000</v>
      </c>
      <c r="I31" s="1418">
        <f>+'10 Gastos  Admon y Ventas'!J37+'13 Costo Personal d Operaciones'!J14</f>
        <v>156000</v>
      </c>
      <c r="J31" s="1418">
        <f>+'10 Gastos  Admon y Ventas'!K37+'13 Costo Personal d Operaciones'!K14</f>
        <v>156000</v>
      </c>
      <c r="K31" s="1418">
        <f>+'10 Gastos  Admon y Ventas'!L37+'13 Costo Personal d Operaciones'!L14</f>
        <v>156000</v>
      </c>
      <c r="L31" s="1418">
        <f>+'10 Gastos  Admon y Ventas'!M37+'13 Costo Personal d Operaciones'!M14</f>
        <v>156000</v>
      </c>
      <c r="M31" s="1418">
        <f>+'10 Gastos  Admon y Ventas'!N37+'13 Costo Personal d Operaciones'!N14</f>
        <v>156000</v>
      </c>
      <c r="N31" s="1418">
        <f>+'10 Gastos  Admon y Ventas'!O37+'13 Costo Personal d Operaciones'!O14</f>
        <v>156000</v>
      </c>
      <c r="O31" s="1418">
        <f>+'10 Gastos  Admon y Ventas'!P37+'13 Costo Personal d Operaciones'!P14</f>
        <v>156000</v>
      </c>
      <c r="P31" s="1418">
        <f>+'10 Gastos  Admon y Ventas'!Q37+'13 Costo Personal d Operaciones'!Q14</f>
        <v>1410000</v>
      </c>
      <c r="Q31" s="1420">
        <f>SUM('13 Costo Personal d Operaciones'!R7:R13)+SUM('10 Gastos  Admon y Ventas'!R31:R36)</f>
        <v>168480</v>
      </c>
      <c r="R31" s="1418">
        <f>SUM('13 Costo Personal d Operaciones'!S7:S13)+SUM('10 Gastos  Admon y Ventas'!S31:S36)</f>
        <v>168480</v>
      </c>
      <c r="S31" s="1418">
        <f>SUM('13 Costo Personal d Operaciones'!T7:T13)+SUM('10 Gastos  Admon y Ventas'!T31:T36)</f>
        <v>168480</v>
      </c>
      <c r="T31" s="1418">
        <f>SUM('13 Costo Personal d Operaciones'!U7:U13)+SUM('10 Gastos  Admon y Ventas'!U31:U36)</f>
        <v>168480</v>
      </c>
      <c r="U31" s="1418">
        <f>SUM('13 Costo Personal d Operaciones'!V7:V13)+SUM('10 Gastos  Admon y Ventas'!V31:V36)</f>
        <v>168480</v>
      </c>
      <c r="V31" s="1418">
        <f>SUM('13 Costo Personal d Operaciones'!W7:W13)+SUM('10 Gastos  Admon y Ventas'!W31:W36)</f>
        <v>168480</v>
      </c>
      <c r="W31" s="1418">
        <f>SUM('13 Costo Personal d Operaciones'!X7:X13)+SUM('10 Gastos  Admon y Ventas'!X31:X36)</f>
        <v>168480</v>
      </c>
      <c r="X31" s="1418">
        <f>SUM('13 Costo Personal d Operaciones'!Y7:Y13)+SUM('10 Gastos  Admon y Ventas'!Y31:Y36)</f>
        <v>168480</v>
      </c>
      <c r="Y31" s="1418">
        <f>SUM('13 Costo Personal d Operaciones'!Z7:Z13)+SUM('10 Gastos  Admon y Ventas'!Z31:Z36)</f>
        <v>168480</v>
      </c>
      <c r="Z31" s="1418">
        <f>SUM('13 Costo Personal d Operaciones'!AA7:AA13)+SUM('10 Gastos  Admon y Ventas'!AA31:AA36)</f>
        <v>168480</v>
      </c>
      <c r="AA31" s="1418">
        <f>SUM('13 Costo Personal d Operaciones'!AB7:AB13)+SUM('10 Gastos  Admon y Ventas'!AB31:AB36)</f>
        <v>168480</v>
      </c>
      <c r="AB31" s="1418">
        <f>SUM('13 Costo Personal d Operaciones'!AC7:AC13)+SUM('10 Gastos  Admon y Ventas'!AC31:AC36)</f>
        <v>168480</v>
      </c>
      <c r="AC31" s="1413">
        <f>SUM('13 Costo Personal d Operaciones'!AD7:AD13)+SUM('10 Gastos  Admon y Ventas'!AD31:AD36)</f>
        <v>2021760</v>
      </c>
      <c r="AD31" s="1414">
        <f>SUM('13 Costo Personal d Operaciones'!AE7:AE13)+SUM('10 Gastos  Admon y Ventas'!AE31:AE36)</f>
        <v>1410000</v>
      </c>
      <c r="AE31" s="1415">
        <f>SUM('13 Costo Personal d Operaciones'!AF7:AF13)+SUM('10 Gastos  Admon y Ventas'!AF31:AF36)</f>
        <v>2021760</v>
      </c>
      <c r="AF31" s="1415">
        <f>SUM('13 Costo Personal d Operaciones'!AG7:AG13)+SUM('10 Gastos  Admon y Ventas'!AG31:AG36)</f>
        <v>2183500.8000000003</v>
      </c>
      <c r="AG31" s="1415">
        <f>SUM('13 Costo Personal d Operaciones'!AH7:AH13)+SUM('10 Gastos  Admon y Ventas'!AH31:AH36)</f>
        <v>2358180.8640000001</v>
      </c>
      <c r="AH31" s="1415">
        <f>SUM('13 Costo Personal d Operaciones'!AI7:AI13)+SUM('10 Gastos  Admon y Ventas'!AI31:AI36)</f>
        <v>2546835.3331200005</v>
      </c>
      <c r="AI31" s="1415">
        <f>SUM('13 Costo Personal d Operaciones'!AJ7:AJ13)+SUM('10 Gastos  Admon y Ventas'!AJ31:AJ36)</f>
        <v>2709832.7944396809</v>
      </c>
      <c r="AJ31" s="1415">
        <f>SUM('13 Costo Personal d Operaciones'!AK7:AK13)+SUM('10 Gastos  Admon y Ventas'!AK31:AK36)</f>
        <v>2883262.0932838209</v>
      </c>
      <c r="AK31" s="1415">
        <f>SUM('13 Costo Personal d Operaciones'!AL7:AL13)+SUM('10 Gastos  Admon y Ventas'!AL31:AL36)</f>
        <v>3067790.8672539853</v>
      </c>
      <c r="AL31" s="1415">
        <f>SUM('13 Costo Personal d Operaciones'!AM7:AM13)+SUM('10 Gastos  Admon y Ventas'!AM31:AM36)</f>
        <v>3264129.4827582403</v>
      </c>
      <c r="AM31" s="1416">
        <f>SUM('13 Costo Personal d Operaciones'!AN7:AN13)+SUM('10 Gastos  Admon y Ventas'!AN31:AN36)</f>
        <v>3473033.7696547685</v>
      </c>
      <c r="AN31"/>
      <c r="AO31"/>
    </row>
    <row r="32" spans="1:41" x14ac:dyDescent="0.3">
      <c r="A32" s="151"/>
      <c r="B32" s="40" t="s">
        <v>650</v>
      </c>
      <c r="C32" s="885"/>
      <c r="D32" s="1417" t="str">
        <f>IF(D31=0,"no inicia",'10 Gastos  Admon y Ventas'!E52+'13 Costo Personal d Operaciones'!E28)</f>
        <v>no inicia</v>
      </c>
      <c r="E32" s="1418" t="str">
        <f>IF(E31=0,"no inicia",'10 Gastos  Admon y Ventas'!F52+'13 Costo Personal d Operaciones'!F28)</f>
        <v>no inicia</v>
      </c>
      <c r="F32" s="1418">
        <f>IF(F31=0,"no inicia",'10 Gastos  Admon y Ventas'!G52+'13 Costo Personal d Operaciones'!G28)</f>
        <v>7</v>
      </c>
      <c r="G32" s="1418">
        <f>IF(G31=0,"no inicia",'10 Gastos  Admon y Ventas'!H52+'13 Costo Personal d Operaciones'!H28)</f>
        <v>7</v>
      </c>
      <c r="H32" s="1418">
        <f>IF(H31=0,"no inicia",'10 Gastos  Admon y Ventas'!I52+'13 Costo Personal d Operaciones'!I28)</f>
        <v>19</v>
      </c>
      <c r="I32" s="1418">
        <f>IF(I31=0,"no inicia",'10 Gastos  Admon y Ventas'!J52+'13 Costo Personal d Operaciones'!J28)</f>
        <v>19</v>
      </c>
      <c r="J32" s="1418">
        <f>IF(J31=0,"no inicia",'10 Gastos  Admon y Ventas'!K52+'13 Costo Personal d Operaciones'!K28)</f>
        <v>19</v>
      </c>
      <c r="K32" s="1418">
        <f>IF(K31=0,"no inicia",'10 Gastos  Admon y Ventas'!L52+'13 Costo Personal d Operaciones'!L28)</f>
        <v>19</v>
      </c>
      <c r="L32" s="1418">
        <f>IF(L31=0,"no inicia",'10 Gastos  Admon y Ventas'!M52+'13 Costo Personal d Operaciones'!M28)</f>
        <v>19</v>
      </c>
      <c r="M32" s="1418">
        <f>IF(M31=0,"no inicia",'10 Gastos  Admon y Ventas'!N52+'13 Costo Personal d Operaciones'!N28)</f>
        <v>19</v>
      </c>
      <c r="N32" s="1418">
        <f>IF(N31=0,"no inicia",'10 Gastos  Admon y Ventas'!O52+'13 Costo Personal d Operaciones'!O28)</f>
        <v>19</v>
      </c>
      <c r="O32" s="1418">
        <f>IF(O31=0,"no inicia",'10 Gastos  Admon y Ventas'!P52+'13 Costo Personal d Operaciones'!P28)</f>
        <v>19</v>
      </c>
      <c r="P32" s="1418">
        <f>SUM(D32:O32)/12</f>
        <v>13.833333333333334</v>
      </c>
      <c r="Q32" s="1418">
        <f>IF(Q31=0,"no inicia",'10 Gastos  Admon y Ventas'!R52+'13 Costo Personal d Operaciones'!R28)</f>
        <v>20.520000000000003</v>
      </c>
      <c r="R32" s="1418">
        <f>IF(R31=0,"no inicia",'10 Gastos  Admon y Ventas'!S52+'13 Costo Personal d Operaciones'!S28)</f>
        <v>20.520000000000003</v>
      </c>
      <c r="S32" s="1418">
        <f>IF(S31=0,"no inicia",'10 Gastos  Admon y Ventas'!T52+'13 Costo Personal d Operaciones'!T28)</f>
        <v>20.520000000000003</v>
      </c>
      <c r="T32" s="1418">
        <f>IF(T31=0,"no inicia",'10 Gastos  Admon y Ventas'!U52+'13 Costo Personal d Operaciones'!U28)</f>
        <v>20.520000000000003</v>
      </c>
      <c r="U32" s="1418">
        <f>IF(U31=0,"no inicia",'10 Gastos  Admon y Ventas'!V52+'13 Costo Personal d Operaciones'!V28)</f>
        <v>20.520000000000003</v>
      </c>
      <c r="V32" s="1418">
        <f>IF(V31=0,"no inicia",'10 Gastos  Admon y Ventas'!W52+'13 Costo Personal d Operaciones'!W28)</f>
        <v>20.520000000000003</v>
      </c>
      <c r="W32" s="1418">
        <f>IF(W31=0,"no inicia",'10 Gastos  Admon y Ventas'!X52+'13 Costo Personal d Operaciones'!X28)</f>
        <v>20.520000000000003</v>
      </c>
      <c r="X32" s="1418">
        <f>IF(X31=0,"no inicia",'10 Gastos  Admon y Ventas'!Y52+'13 Costo Personal d Operaciones'!Y28)</f>
        <v>20.520000000000003</v>
      </c>
      <c r="Y32" s="1418">
        <f>IF(Y31=0,"no inicia",'10 Gastos  Admon y Ventas'!Z52+'13 Costo Personal d Operaciones'!Z28)</f>
        <v>20.520000000000003</v>
      </c>
      <c r="Z32" s="1418">
        <f>IF(Z31=0,"no inicia",'10 Gastos  Admon y Ventas'!AA52+'13 Costo Personal d Operaciones'!AA28)</f>
        <v>20.520000000000003</v>
      </c>
      <c r="AA32" s="1418">
        <f>IF(AA31=0,"no inicia",'10 Gastos  Admon y Ventas'!AB52+'13 Costo Personal d Operaciones'!AB28)</f>
        <v>20.520000000000003</v>
      </c>
      <c r="AB32" s="1418">
        <f>IF(AB31=0,"no inicia",'10 Gastos  Admon y Ventas'!AC52+'13 Costo Personal d Operaciones'!AC28)</f>
        <v>20.520000000000003</v>
      </c>
      <c r="AC32" s="1418">
        <f>SUM(Q32:AB32)/12</f>
        <v>20.520000000000007</v>
      </c>
      <c r="AD32" s="1418">
        <f>IF(AD31=0,"no inicia",'10 Gastos  Admon y Ventas'!AE52+'13 Costo Personal d Operaciones'!AE28)</f>
        <v>19</v>
      </c>
      <c r="AE32" s="1418">
        <f>IF(AE31=0,"no inicia",'10 Gastos  Admon y Ventas'!AF52+'13 Costo Personal d Operaciones'!AF28)</f>
        <v>20.52</v>
      </c>
      <c r="AF32" s="1418">
        <f>IF(AF31=0,"no inicia",'10 Gastos  Admon y Ventas'!AG52+'13 Costo Personal d Operaciones'!AG28)</f>
        <v>22.1616</v>
      </c>
      <c r="AG32" s="1418">
        <f>IF(AG31=0,"no inicia",'10 Gastos  Admon y Ventas'!AH52+'13 Costo Personal d Operaciones'!AH28)</f>
        <v>23.934528000000007</v>
      </c>
      <c r="AH32" s="1418">
        <f>IF(AH31=0,"no inicia",'10 Gastos  Admon y Ventas'!AI52+'13 Costo Personal d Operaciones'!AI28)</f>
        <v>25.849290240000006</v>
      </c>
      <c r="AI32" s="1418">
        <f>IF(AI31=0,"no inicia",'10 Gastos  Admon y Ventas'!AJ52+'13 Costo Personal d Operaciones'!AJ28)</f>
        <v>27.503644815360008</v>
      </c>
      <c r="AJ32" s="1418">
        <f>IF(AJ31=0,"no inicia",'10 Gastos  Admon y Ventas'!AK52+'13 Costo Personal d Operaciones'!AK28)</f>
        <v>29.263878083543048</v>
      </c>
      <c r="AK32" s="1418">
        <f>IF(AK31=0,"no inicia",'10 Gastos  Admon y Ventas'!AL52+'13 Costo Personal d Operaciones'!AL28)</f>
        <v>31.136766280889809</v>
      </c>
      <c r="AL32" s="1418">
        <f>IF(AL31=0,"no inicia",'10 Gastos  Admon y Ventas'!AM52+'13 Costo Personal d Operaciones'!AM28)</f>
        <v>33.129519322866756</v>
      </c>
      <c r="AM32" s="1418">
        <f>IF(AM31=0,"no inicia",'10 Gastos  Admon y Ventas'!AN52+'13 Costo Personal d Operaciones'!AN28)</f>
        <v>35.249808559530237</v>
      </c>
      <c r="AN32"/>
      <c r="AO32"/>
    </row>
    <row r="33" spans="1:42" x14ac:dyDescent="0.3">
      <c r="A33" s="151"/>
      <c r="B33" s="40" t="s">
        <v>381</v>
      </c>
      <c r="C33" s="885"/>
      <c r="D33" s="1417">
        <f>IF(D31=0,0,D31/D32)</f>
        <v>0</v>
      </c>
      <c r="E33" s="1418">
        <f t="shared" ref="E33:O33" si="14">IF(E31=0,0,E31/E32)</f>
        <v>0</v>
      </c>
      <c r="F33" s="1418">
        <f t="shared" si="14"/>
        <v>11571.428571428571</v>
      </c>
      <c r="G33" s="1418">
        <f t="shared" si="14"/>
        <v>11571.428571428571</v>
      </c>
      <c r="H33" s="1418">
        <f t="shared" si="14"/>
        <v>8210.5263157894733</v>
      </c>
      <c r="I33" s="1418">
        <f t="shared" si="14"/>
        <v>8210.5263157894733</v>
      </c>
      <c r="J33" s="1418">
        <f t="shared" si="14"/>
        <v>8210.5263157894733</v>
      </c>
      <c r="K33" s="1418">
        <f t="shared" si="14"/>
        <v>8210.5263157894733</v>
      </c>
      <c r="L33" s="1418">
        <f t="shared" si="14"/>
        <v>8210.5263157894733</v>
      </c>
      <c r="M33" s="1418">
        <f t="shared" si="14"/>
        <v>8210.5263157894733</v>
      </c>
      <c r="N33" s="1418">
        <f t="shared" si="14"/>
        <v>8210.5263157894733</v>
      </c>
      <c r="O33" s="1418">
        <f t="shared" si="14"/>
        <v>8210.5263157894733</v>
      </c>
      <c r="P33" s="1419">
        <f>P31/P32/12</f>
        <v>8493.9759036144569</v>
      </c>
      <c r="Q33" s="1418">
        <f>IF(Q31=0,0,Q31/Q32)</f>
        <v>8210.5263157894733</v>
      </c>
      <c r="R33" s="1418">
        <f t="shared" ref="R33" si="15">IF(R31=0,0,R31/R32)</f>
        <v>8210.5263157894733</v>
      </c>
      <c r="S33" s="1418">
        <f t="shared" ref="S33" si="16">IF(S31=0,0,S31/S32)</f>
        <v>8210.5263157894733</v>
      </c>
      <c r="T33" s="1418">
        <f t="shared" ref="T33" si="17">IF(T31=0,0,T31/T32)</f>
        <v>8210.5263157894733</v>
      </c>
      <c r="U33" s="1418">
        <f t="shared" ref="U33" si="18">IF(U31=0,0,U31/U32)</f>
        <v>8210.5263157894733</v>
      </c>
      <c r="V33" s="1418">
        <f t="shared" ref="V33" si="19">IF(V31=0,0,V31/V32)</f>
        <v>8210.5263157894733</v>
      </c>
      <c r="W33" s="1418">
        <f t="shared" ref="W33" si="20">IF(W31=0,0,W31/W32)</f>
        <v>8210.5263157894733</v>
      </c>
      <c r="X33" s="1418">
        <f t="shared" ref="X33" si="21">IF(X31=0,0,X31/X32)</f>
        <v>8210.5263157894733</v>
      </c>
      <c r="Y33" s="1418">
        <f t="shared" ref="Y33" si="22">IF(Y31=0,0,Y31/Y32)</f>
        <v>8210.5263157894733</v>
      </c>
      <c r="Z33" s="1418">
        <f t="shared" ref="Z33" si="23">IF(Z31=0,0,Z31/Z32)</f>
        <v>8210.5263157894733</v>
      </c>
      <c r="AA33" s="1418">
        <f t="shared" ref="AA33" si="24">IF(AA31=0,0,AA31/AA32)</f>
        <v>8210.5263157894733</v>
      </c>
      <c r="AB33" s="1418">
        <f t="shared" ref="AB33" si="25">IF(AB31=0,0,AB31/AB32)</f>
        <v>8210.5263157894733</v>
      </c>
      <c r="AC33" s="1419">
        <f>AC31/AC32/12</f>
        <v>8210.5263157894715</v>
      </c>
      <c r="AD33" s="1417">
        <f>+AD31/AD32/7</f>
        <v>10601.503759398498</v>
      </c>
      <c r="AE33" s="1418">
        <f>AE31/AE32/12</f>
        <v>8210.5263157894733</v>
      </c>
      <c r="AF33" s="1418">
        <f t="shared" ref="AF33" si="26">IF(AF31=0,0,AF31/AF32)</f>
        <v>98526.315789473694</v>
      </c>
      <c r="AG33" s="1418">
        <f t="shared" ref="AG33" si="27">IF(AG31=0,0,AG31/AG32)</f>
        <v>98526.315789473651</v>
      </c>
      <c r="AH33" s="1418">
        <f t="shared" ref="AH33" si="28">IF(AH31=0,0,AH31/AH32)</f>
        <v>98526.31578947368</v>
      </c>
      <c r="AI33" s="1418">
        <f t="shared" ref="AI33" si="29">IF(AI31=0,0,AI31/AI32)</f>
        <v>98526.31578947368</v>
      </c>
      <c r="AJ33" s="1418">
        <f t="shared" ref="AJ33" si="30">IF(AJ31=0,0,AJ31/AJ32)</f>
        <v>98526.315789473709</v>
      </c>
      <c r="AK33" s="1418">
        <f t="shared" ref="AK33" si="31">IF(AK31=0,0,AK31/AK32)</f>
        <v>98526.31578947368</v>
      </c>
      <c r="AL33" s="1418">
        <f t="shared" ref="AL33" si="32">IF(AL31=0,0,AL31/AL32)</f>
        <v>98526.31578947368</v>
      </c>
      <c r="AM33" s="1418">
        <f t="shared" ref="AM33" si="33">IF(AM31=0,0,AM31/AM32)</f>
        <v>98526.31578947368</v>
      </c>
    </row>
    <row r="34" spans="1:42" x14ac:dyDescent="0.3">
      <c r="A34" s="151"/>
      <c r="B34" s="40" t="s">
        <v>177</v>
      </c>
      <c r="C34" s="885"/>
      <c r="D34" s="1417" t="str">
        <f t="shared" ref="D34:E34" si="34">IF(D31=0, "no inicia",D18/D32)</f>
        <v>no inicia</v>
      </c>
      <c r="E34" s="1418" t="str">
        <f t="shared" si="34"/>
        <v>no inicia</v>
      </c>
      <c r="F34" s="1418">
        <f>IF(F31=0, "no inicia",F18/F32)</f>
        <v>250050.14285714287</v>
      </c>
      <c r="G34" s="1418">
        <f t="shared" ref="G34:AM34" si="35">IF(G31=0, "no inicia",G18/G32)</f>
        <v>217811</v>
      </c>
      <c r="H34" s="1418">
        <f t="shared" si="35"/>
        <v>61911.684210526313</v>
      </c>
      <c r="I34" s="1418">
        <f t="shared" si="35"/>
        <v>84319.452002301987</v>
      </c>
      <c r="J34" s="1418">
        <f t="shared" si="35"/>
        <v>95668.13291536014</v>
      </c>
      <c r="K34" s="1418">
        <f t="shared" si="35"/>
        <v>104065.15106825301</v>
      </c>
      <c r="L34" s="1418">
        <f t="shared" si="35"/>
        <v>114839.91085718969</v>
      </c>
      <c r="M34" s="1418">
        <f t="shared" si="35"/>
        <v>144850.62603739384</v>
      </c>
      <c r="N34" s="1418">
        <f t="shared" si="35"/>
        <v>186304.84787949288</v>
      </c>
      <c r="O34" s="1418">
        <f t="shared" si="35"/>
        <v>240186.2109808613</v>
      </c>
      <c r="P34" s="1418">
        <f t="shared" si="35"/>
        <v>329894.31387732743</v>
      </c>
      <c r="Q34" s="1418">
        <f t="shared" si="35"/>
        <v>230604.8959097144</v>
      </c>
      <c r="R34" s="1418">
        <f t="shared" si="35"/>
        <v>250037.04578566694</v>
      </c>
      <c r="S34" s="1418">
        <f>IF(S31=0, "no inicia",S18/S32)</f>
        <v>268779.11957846</v>
      </c>
      <c r="T34" s="1418">
        <f t="shared" si="35"/>
        <v>259200.07548536803</v>
      </c>
      <c r="U34" s="1418">
        <f t="shared" si="35"/>
        <v>287425.21976047783</v>
      </c>
      <c r="V34" s="1418">
        <f t="shared" si="35"/>
        <v>301698.00394901686</v>
      </c>
      <c r="W34" s="1418">
        <f t="shared" si="35"/>
        <v>312654.28416696959</v>
      </c>
      <c r="X34" s="1418">
        <f t="shared" si="35"/>
        <v>320271.42298743548</v>
      </c>
      <c r="Y34" s="1418">
        <f t="shared" si="35"/>
        <v>330211.8102983287</v>
      </c>
      <c r="Z34" s="1418">
        <f t="shared" si="35"/>
        <v>358307.09809769993</v>
      </c>
      <c r="AA34" s="1418">
        <f t="shared" si="35"/>
        <v>397064.92439724511</v>
      </c>
      <c r="AB34" s="1418">
        <f t="shared" si="35"/>
        <v>447504.94255953719</v>
      </c>
      <c r="AC34" s="1418">
        <f t="shared" si="35"/>
        <v>447504.94255953713</v>
      </c>
      <c r="AD34" s="1418">
        <f t="shared" si="35"/>
        <v>240186.21098086121</v>
      </c>
      <c r="AE34" s="1418">
        <f t="shared" si="35"/>
        <v>447504.9425595373</v>
      </c>
      <c r="AF34" s="1418">
        <f>IF(AF31=0, "no inicia",AF18/AF32)</f>
        <v>620250.8026251297</v>
      </c>
      <c r="AG34" s="1418">
        <f t="shared" si="35"/>
        <v>788019.27216140274</v>
      </c>
      <c r="AH34" s="1418">
        <f t="shared" si="35"/>
        <v>951128.38085958292</v>
      </c>
      <c r="AI34" s="1418">
        <f t="shared" si="35"/>
        <v>1122135.7103903987</v>
      </c>
      <c r="AJ34" s="1418">
        <f t="shared" si="35"/>
        <v>1293078.5950988864</v>
      </c>
      <c r="AK34" s="1418">
        <f t="shared" si="35"/>
        <v>1490973.4976898115</v>
      </c>
      <c r="AL34" s="1418">
        <f t="shared" si="35"/>
        <v>1686673.3668457286</v>
      </c>
      <c r="AM34" s="1418">
        <f t="shared" si="35"/>
        <v>1877745.1263673422</v>
      </c>
      <c r="AN34"/>
      <c r="AO34"/>
      <c r="AP34"/>
    </row>
    <row r="35" spans="1:42" x14ac:dyDescent="0.3">
      <c r="A35" s="151"/>
      <c r="B35" s="40" t="s">
        <v>206</v>
      </c>
      <c r="C35" s="885"/>
      <c r="D35" s="909" t="str">
        <f>IF(D13=0,"sin ventas",(+'13 Costo Personal d Operaciones'!E14+'10 Gastos  Admon y Ventas'!E37)/D13)</f>
        <v>sin ventas</v>
      </c>
      <c r="E35" s="906" t="str">
        <f>IF(E13=0,"sin ventas",(+'13 Costo Personal d Operaciones'!F14+'10 Gastos  Admon y Ventas'!F37)/E13)</f>
        <v>sin ventas</v>
      </c>
      <c r="F35" s="906" t="str">
        <f>IF(F13=0,"sin ventas",(+'13 Costo Personal d Operaciones'!G14+'10 Gastos  Admon y Ventas'!G37)/F13)</f>
        <v>sin ventas</v>
      </c>
      <c r="G35" s="906" t="str">
        <f>IF(G13=0,"sin ventas",(+'13 Costo Personal d Operaciones'!H14+'10 Gastos  Admon y Ventas'!H37)/G13)</f>
        <v>sin ventas</v>
      </c>
      <c r="H35" s="906" t="str">
        <f>IF(H13=0,"sin ventas",(+'13 Costo Personal d Operaciones'!I14+'10 Gastos  Admon y Ventas'!I37)/H13)</f>
        <v>sin ventas</v>
      </c>
      <c r="I35" s="906">
        <f>IF(I13=0,"sin ventas",(+'13 Costo Personal d Operaciones'!J14+'10 Gastos  Admon y Ventas'!J37)/I13)</f>
        <v>0.1224105461393597</v>
      </c>
      <c r="J35" s="906">
        <f>IF(J13=0,"sin ventas",(+'13 Costo Personal d Operaciones'!K14+'10 Gastos  Admon y Ventas'!K37)/J13)</f>
        <v>0.1353849358223333</v>
      </c>
      <c r="K35" s="906">
        <f>IF(K13=0,"sin ventas",(+'13 Costo Personal d Operaciones'!L14+'10 Gastos  Admon y Ventas'!L37)/K13)</f>
        <v>0.15794909179272218</v>
      </c>
      <c r="L35" s="906">
        <f>IF(L13=0,"sin ventas",(+'13 Costo Personal d Operaciones'!M14+'10 Gastos  Admon y Ventas'!M37)/L13)</f>
        <v>0.13989776701641107</v>
      </c>
      <c r="M35" s="906">
        <f>IF(M13=0,"sin ventas",(+'13 Costo Personal d Operaciones'!N14+'10 Gastos  Admon y Ventas'!N37)/M13)</f>
        <v>7.897454589636109E-2</v>
      </c>
      <c r="N35" s="906">
        <f>IF(N13=0,"sin ventas",(+'13 Costo Personal d Operaciones'!O14+'10 Gastos  Admon y Ventas'!O37)/N13)</f>
        <v>6.5285624607658507E-2</v>
      </c>
      <c r="O35" s="906">
        <f>IF(O13=0,"sin ventas",(+'13 Costo Personal d Operaciones'!P14+'10 Gastos  Admon y Ventas'!P37)/O13)</f>
        <v>5.2649697264240729E-2</v>
      </c>
      <c r="P35" s="907">
        <f>IF(P13=0,"sin ventas",(+'13 Costo Personal d Operaciones'!Q14+'10 Gastos  Admon y Ventas'!Q37)/P13)</f>
        <v>0.11891478869854089</v>
      </c>
      <c r="Q35" s="905">
        <f>IF(Q13=0,"sin ventas",(+'13 Costo Personal d Operaciones'!R14+'10 Gastos  Admon y Ventas'!R37)/Q13)</f>
        <v>0.15507729012376362</v>
      </c>
      <c r="R35" s="906">
        <f>IF(R13=0,"sin ventas",(+'13 Costo Personal d Operaciones'!S14+'10 Gastos  Admon y Ventas'!S37)/R13)</f>
        <v>0.10301562843935726</v>
      </c>
      <c r="S35" s="906">
        <f>IF(S13=0,"sin ventas",(+'13 Costo Personal d Operaciones'!T14+'10 Gastos  Admon y Ventas'!T37)/S13)</f>
        <v>9.7943551657113853E-2</v>
      </c>
      <c r="T35" s="906">
        <f>IF(T13=0,"sin ventas",(+'13 Costo Personal d Operaciones'!U14+'10 Gastos  Admon y Ventas'!U37)/T13)</f>
        <v>0.10120833671235098</v>
      </c>
      <c r="U35" s="906">
        <f>IF(U13=0,"sin ventas",(+'13 Costo Personal d Operaciones'!V14+'10 Gastos  Admon y Ventas'!V37)/U13)</f>
        <v>7.7538645061881808E-2</v>
      </c>
      <c r="V35" s="906">
        <f>IF(V13=0,"sin ventas",(+'13 Costo Personal d Operaciones'!W14+'10 Gastos  Admon y Ventas'!W37)/V13)</f>
        <v>0.12018489984591679</v>
      </c>
      <c r="W35" s="906">
        <f>IF(W13=0,"sin ventas",(+'13 Costo Personal d Operaciones'!X14+'10 Gastos  Admon y Ventas'!X37)/W13)</f>
        <v>0.13292339153465452</v>
      </c>
      <c r="X35" s="906">
        <f>IF(X13=0,"sin ventas",(+'13 Costo Personal d Operaciones'!Y14+'10 Gastos  Admon y Ventas'!Y37)/X13)</f>
        <v>0.15507729012376362</v>
      </c>
      <c r="Y35" s="906">
        <f>IF(Y13=0,"sin ventas",(+'13 Costo Personal d Operaciones'!Z14+'10 Gastos  Admon y Ventas'!Z37)/Y13)</f>
        <v>0.13735417125247634</v>
      </c>
      <c r="Z35" s="906">
        <f>IF(Z13=0,"sin ventas",(+'13 Costo Personal d Operaciones'!AA14+'10 Gastos  Admon y Ventas'!AA37)/Z13)</f>
        <v>7.7538645061881808E-2</v>
      </c>
      <c r="AA35" s="906">
        <f>IF(AA13=0,"sin ventas",(+'13 Costo Personal d Operaciones'!AB14+'10 Gastos  Admon y Ventas'!AB37)/AA13)</f>
        <v>6.4098613251155623E-2</v>
      </c>
      <c r="AB35" s="906">
        <f>IF(AB13=0,"sin ventas",(+'13 Costo Personal d Operaciones'!AC14+'10 Gastos  Admon y Ventas'!AC37)/AB13)</f>
        <v>5.1692430041254532E-2</v>
      </c>
      <c r="AC35" s="908">
        <f>IF(AC13=0,"sin ventas",(+'13 Costo Personal d Operaciones'!AD14+'10 Gastos  Admon y Ventas'!AD37)/AC13)</f>
        <v>9.4817836339197478E-2</v>
      </c>
      <c r="AD35" s="909">
        <f>IF(AD13=0,"sin ventas",(+'13 Costo Personal d Operaciones'!AE14+'10 Gastos  Admon y Ventas'!AE37)/AD13)</f>
        <v>0.11891478869854089</v>
      </c>
      <c r="AE35" s="906">
        <f>IF(AE13=0,"sin ventas",(+'13 Costo Personal d Operaciones'!AF14+'10 Gastos  Admon y Ventas'!AF37)/AE13)</f>
        <v>9.4817836339197478E-2</v>
      </c>
      <c r="AF35" s="906">
        <f>IF(AF13=0,"sin ventas",(+'13 Costo Personal d Operaciones'!AG14+'10 Gastos  Admon y Ventas'!AG37)/AF13)</f>
        <v>9.3093875678484789E-2</v>
      </c>
      <c r="AG35" s="906">
        <f>IF(AG13=0,"sin ventas",(+'13 Costo Personal d Operaciones'!AH14+'10 Gastos  Admon y Ventas'!AH37)/AG13)</f>
        <v>9.140125975705779E-2</v>
      </c>
      <c r="AH35" s="906">
        <f>IF(AH13=0,"sin ventas",(+'13 Costo Personal d Operaciones'!AI14+'10 Gastos  Admon y Ventas'!AI37)/AH13)</f>
        <v>8.973941867056584E-2</v>
      </c>
      <c r="AI35" s="906">
        <f>IF(AI13=0,"sin ventas",(+'13 Costo Personal d Operaciones'!AJ14+'10 Gastos  Admon y Ventas'!AJ37)/AI13)</f>
        <v>8.8409945801372278E-2</v>
      </c>
      <c r="AJ35" s="906">
        <f>IF(AJ13=0,"sin ventas",(+'13 Costo Personal d Operaciones'!AK14+'10 Gastos  Admon y Ventas'!AK37)/AJ13)</f>
        <v>8.7100168826537136E-2</v>
      </c>
      <c r="AK35" s="906">
        <f>IF(AK13=0,"sin ventas",(+'13 Costo Personal d Operaciones'!AL14+'10 Gastos  Admon y Ventas'!AL37)/AK13)</f>
        <v>8.5809795955032866E-2</v>
      </c>
      <c r="AL35" s="906">
        <f>IF(AL13=0,"sin ventas",(+'13 Costo Personal d Operaciones'!AM14+'10 Gastos  Admon y Ventas'!AM37)/AL13)</f>
        <v>8.4538539718662001E-2</v>
      </c>
      <c r="AM35" s="908">
        <f>IF(AM13=0,"sin ventas",(+'13 Costo Personal d Operaciones'!AN14+'10 Gastos  Admon y Ventas'!AN37)/AM13)</f>
        <v>8.3286116908015184E-2</v>
      </c>
      <c r="AN35"/>
      <c r="AO35"/>
      <c r="AP35"/>
    </row>
    <row r="36" spans="1:42" x14ac:dyDescent="0.3">
      <c r="A36" s="151"/>
      <c r="B36" s="40" t="s">
        <v>207</v>
      </c>
      <c r="C36" s="885"/>
      <c r="D36" s="1417">
        <f>IF(D31=0,0,'4 Estado de Resultados'!D25/D32)</f>
        <v>0</v>
      </c>
      <c r="E36" s="1418">
        <f>IF(E31=0,0,'4 Estado de Resultados'!E25/E32)</f>
        <v>0</v>
      </c>
      <c r="F36" s="1418">
        <f>IF(F31=0,0,'4 Estado de Resultados'!F25/F32)</f>
        <v>0</v>
      </c>
      <c r="G36" s="1418">
        <f>IF(G31=0,0,'4 Estado de Resultados'!G25/G32)</f>
        <v>0</v>
      </c>
      <c r="H36" s="1418">
        <f>IF(H31=0,0,'4 Estado de Resultados'!H25/H32)</f>
        <v>0</v>
      </c>
      <c r="I36" s="1418">
        <f>IF(I31=0,0,'4 Estado de Resultados'!I25/I32)</f>
        <v>0</v>
      </c>
      <c r="J36" s="1418">
        <f>IF(J31=0,0,'4 Estado de Resultados'!J25/J32)</f>
        <v>0</v>
      </c>
      <c r="K36" s="1418">
        <f>IF(K31=0,0,'4 Estado de Resultados'!K25/K32)</f>
        <v>0</v>
      </c>
      <c r="L36" s="1418">
        <f>IF(L31=0,0,'4 Estado de Resultados'!L25/L32)</f>
        <v>0</v>
      </c>
      <c r="M36" s="1418">
        <f>IF(M31=0,0,'4 Estado de Resultados'!M25/M32)</f>
        <v>0</v>
      </c>
      <c r="N36" s="1418">
        <f>IF(N31=0,0,'4 Estado de Resultados'!N25/N32)</f>
        <v>0</v>
      </c>
      <c r="O36" s="1418">
        <f>IF(O31=0,0,'4 Estado de Resultados'!O25/O32)</f>
        <v>17903.414813928761</v>
      </c>
      <c r="P36" s="1418">
        <f>IF(P31=0,0,'4 Estado de Resultados'!P25/P32)</f>
        <v>24590.232395034684</v>
      </c>
      <c r="Q36" s="1417">
        <f>IF(Q31=0,0,'4 Estado de Resultados'!Q25/Q32)</f>
        <v>0</v>
      </c>
      <c r="R36" s="1418">
        <f>IF(R31=0,0,'4 Estado de Resultados'!R25/R32)</f>
        <v>0</v>
      </c>
      <c r="S36" s="1418">
        <f>IF(S31=0,0,'4 Estado de Resultados'!S25/S32)</f>
        <v>0</v>
      </c>
      <c r="T36" s="1418">
        <f>IF(T31=0,0,'4 Estado de Resultados'!T25/T32)</f>
        <v>0</v>
      </c>
      <c r="U36" s="1418">
        <f>IF(U31=0,0,'4 Estado de Resultados'!U25/U32)</f>
        <v>0</v>
      </c>
      <c r="V36" s="1418">
        <f>IF(V31=0,0,'4 Estado de Resultados'!V25/V32)</f>
        <v>0</v>
      </c>
      <c r="W36" s="1418">
        <f>IF(W31=0,0,'4 Estado de Resultados'!W25/W32)</f>
        <v>0</v>
      </c>
      <c r="X36" s="1418">
        <f>IF(X31=0,0,'4 Estado de Resultados'!X25/X32)</f>
        <v>0</v>
      </c>
      <c r="Y36" s="1418">
        <f>IF(Y31=0,0,'4 Estado de Resultados'!Y25/Y32)</f>
        <v>0</v>
      </c>
      <c r="Z36" s="1418">
        <f>IF(Z31=0,0,'4 Estado de Resultados'!Z25/Z32)</f>
        <v>0</v>
      </c>
      <c r="AA36" s="1418">
        <f>IF(AA31=0,0,'4 Estado de Resultados'!AA25/AA32)</f>
        <v>0</v>
      </c>
      <c r="AB36" s="1418">
        <f>IF(AB31=0,0,'4 Estado de Resultados'!AB25/AB32)</f>
        <v>36545.976725712288</v>
      </c>
      <c r="AC36" s="1413">
        <f>IF(AC31=0,0,'4 Estado de Resultados'!AC25/AC32)</f>
        <v>36545.976725712288</v>
      </c>
      <c r="AD36" s="1417">
        <f>IF(AD31=0,0,'4 Estado de Resultados'!AD25/AD32)</f>
        <v>17903.414813928761</v>
      </c>
      <c r="AE36" s="1418">
        <f>IF(AE31=0,0,'4 Estado de Resultados'!AE25/AE32)</f>
        <v>36545.976725712288</v>
      </c>
      <c r="AF36" s="1418">
        <f>IF(AF31=0,0,'4 Estado de Resultados'!AF25/AF32)</f>
        <v>38055.603619389614</v>
      </c>
      <c r="AG36" s="1418">
        <f>IF(AG31=0,0,'4 Estado de Resultados'!AG25/AG32)</f>
        <v>39436.176467569981</v>
      </c>
      <c r="AH36" s="1418">
        <f>IF(AH31=0,0,'4 Estado de Resultados'!AH25/AH32)</f>
        <v>40807.467858350712</v>
      </c>
      <c r="AI36" s="1418">
        <f>IF(AI31=0,0,'4 Estado de Resultados'!AI25/AI32)</f>
        <v>42910.317270994448</v>
      </c>
      <c r="AJ36" s="1418">
        <f>IF(AJ31=0,0,'4 Estado de Resultados'!AJ25/AJ32)</f>
        <v>44052.120156306759</v>
      </c>
      <c r="AK36" s="1418">
        <f>IF(AK31=0,0,'4 Estado de Resultados'!AK25/AK32)</f>
        <v>45296.633539121896</v>
      </c>
      <c r="AL36" s="1418">
        <f>IF(AL31=0,0,'4 Estado de Resultados'!AL25/AL32)</f>
        <v>46850.644223035117</v>
      </c>
      <c r="AM36" s="1413">
        <f>IF(AM31=0,0,'4 Estado de Resultados'!AM25/AM32)</f>
        <v>48079.765283587367</v>
      </c>
      <c r="AN36"/>
      <c r="AO36"/>
      <c r="AP36"/>
    </row>
    <row r="37" spans="1:42" ht="15.75" thickBot="1" x14ac:dyDescent="0.35">
      <c r="A37" s="888"/>
      <c r="B37" s="898" t="s">
        <v>178</v>
      </c>
      <c r="C37" s="910"/>
      <c r="D37" s="1429">
        <f>+D14/'19 Resumen'!$D$8</f>
        <v>0</v>
      </c>
      <c r="E37" s="1426">
        <f>+E14/'19 Resumen'!$D$8</f>
        <v>0</v>
      </c>
      <c r="F37" s="1426">
        <f>+F14/'19 Resumen'!$D$8</f>
        <v>-81216.333333333328</v>
      </c>
      <c r="G37" s="1426">
        <f>+G14/'19 Resumen'!$D$8</f>
        <v>-75224.666666666672</v>
      </c>
      <c r="H37" s="1426">
        <f>+H14/'19 Resumen'!$D$8</f>
        <v>-132785</v>
      </c>
      <c r="I37" s="1426">
        <f>+I14/'19 Resumen'!$D$8</f>
        <v>91915.862681245853</v>
      </c>
      <c r="J37" s="1426">
        <f>+J14/'19 Resumen'!$D$8</f>
        <v>71874.979116035101</v>
      </c>
      <c r="K37" s="1426">
        <f>+K14/'19 Resumen'!$D$8</f>
        <v>53181.114968321381</v>
      </c>
      <c r="L37" s="1426">
        <f>+L14/'19 Resumen'!$D$8</f>
        <v>68745.195834982791</v>
      </c>
      <c r="M37" s="1426">
        <f>+M14/'19 Resumen'!$D$8</f>
        <v>191190.19726362731</v>
      </c>
      <c r="N37" s="1426">
        <f>+N14/'19 Resumen'!$D$8</f>
        <v>263665.73945562815</v>
      </c>
      <c r="O37" s="1426">
        <f>+O14/'19 Resumen'!$D$8</f>
        <v>145772.08616702413</v>
      </c>
      <c r="P37" s="1427">
        <f>+P14/'19 Resumen'!$D$8</f>
        <v>597119.17548686475</v>
      </c>
      <c r="Q37" s="1425">
        <f>+Q14/'19 Resumen'!$D$8</f>
        <v>57280.486265993248</v>
      </c>
      <c r="R37" s="1426">
        <f>+R14/'19 Resumen'!$D$8</f>
        <v>134038.23960718288</v>
      </c>
      <c r="S37" s="1426">
        <f>+S14/'19 Resumen'!$D$8</f>
        <v>129318.11919837259</v>
      </c>
      <c r="T37" s="1426">
        <f>+T14/'19 Resumen'!$D$8</f>
        <v>132200.55412289558</v>
      </c>
      <c r="U37" s="1426">
        <f>+U14/'19 Resumen'!$D$8</f>
        <v>194182.32129741859</v>
      </c>
      <c r="V37" s="1426">
        <f>+V14/'19 Resumen'!$D$8</f>
        <v>98748.178305274967</v>
      </c>
      <c r="W37" s="1426">
        <f>+W14/'19 Resumen'!$D$8</f>
        <v>76063.291146464631</v>
      </c>
      <c r="X37" s="1426">
        <f>+X14/'19 Resumen'!$D$8</f>
        <v>53223.563987654306</v>
      </c>
      <c r="Y37" s="1426">
        <f>+Y14/'19 Resumen'!$D$8</f>
        <v>69114.58366217732</v>
      </c>
      <c r="Z37" s="1426">
        <f>+Z14/'19 Resumen'!$D$8</f>
        <v>193294.103003367</v>
      </c>
      <c r="AA37" s="1426">
        <f>+AA14/'19 Resumen'!$D$8</f>
        <v>266225.86634455668</v>
      </c>
      <c r="AB37" s="1426">
        <f>+AB14/'19 Resumen'!$D$8</f>
        <v>-87287.491201202225</v>
      </c>
      <c r="AC37" s="1428">
        <f>+AC14/'19 Resumen'!$D$8</f>
        <v>1316401.815740156</v>
      </c>
      <c r="AD37" s="1429">
        <f>+AD14/'19 Resumen'!$D$8</f>
        <v>597119.17548686475</v>
      </c>
      <c r="AE37" s="1426">
        <f>+AE14/'19 Resumen'!$D$8</f>
        <v>1316401.815740156</v>
      </c>
      <c r="AF37" s="1426">
        <f>+AF14/'19 Resumen'!$D$8</f>
        <v>1480441.564498638</v>
      </c>
      <c r="AG37" s="1426">
        <f>+AG14/'19 Resumen'!$D$8</f>
        <v>1656880.5950660815</v>
      </c>
      <c r="AH37" s="1426">
        <f>+AH14/'19 Resumen'!$D$8</f>
        <v>1851653.8949610393</v>
      </c>
      <c r="AI37" s="1426">
        <f>+AI14/'19 Resumen'!$D$8</f>
        <v>2071684.0357081171</v>
      </c>
      <c r="AJ37" s="1426">
        <f>+AJ14/'19 Resumen'!$D$8</f>
        <v>2578271.7471515001</v>
      </c>
      <c r="AK37" s="1426">
        <f>+AK14/'19 Resumen'!$D$8</f>
        <v>2820781.383637506</v>
      </c>
      <c r="AL37" s="1426">
        <f>+AL14/'19 Resumen'!$D$8</f>
        <v>3104278.6461515953</v>
      </c>
      <c r="AM37" s="1428">
        <f>+AM14/'19 Resumen'!$D$8</f>
        <v>3389605.0436672061</v>
      </c>
    </row>
    <row r="38" spans="1:42" ht="15.75" thickBot="1" x14ac:dyDescent="0.35">
      <c r="A38" s="151"/>
      <c r="B38" s="152"/>
      <c r="C38" s="153"/>
      <c r="D38" s="151"/>
      <c r="E38" s="152"/>
      <c r="F38" s="152"/>
      <c r="G38" s="152"/>
      <c r="H38" s="152"/>
      <c r="I38" s="152"/>
      <c r="J38" s="152"/>
      <c r="K38" s="152"/>
      <c r="L38" s="152"/>
      <c r="M38" s="152"/>
      <c r="N38" s="152"/>
      <c r="O38" s="152"/>
      <c r="P38" s="153"/>
      <c r="Q38" s="151"/>
      <c r="R38" s="152"/>
      <c r="S38" s="152"/>
      <c r="T38" s="152"/>
      <c r="U38" s="152"/>
      <c r="V38" s="152"/>
      <c r="W38" s="152"/>
      <c r="X38" s="152"/>
      <c r="Y38" s="152"/>
      <c r="Z38" s="152"/>
      <c r="AA38" s="152"/>
      <c r="AB38" s="152"/>
      <c r="AC38" s="153"/>
      <c r="AD38" s="151"/>
      <c r="AE38" s="152"/>
      <c r="AF38" s="152"/>
      <c r="AG38" s="152"/>
      <c r="AH38" s="152"/>
      <c r="AI38" s="152"/>
      <c r="AJ38" s="152"/>
      <c r="AK38" s="152"/>
      <c r="AL38" s="152"/>
      <c r="AM38" s="153"/>
    </row>
    <row r="39" spans="1:42" ht="19.5" x14ac:dyDescent="0.4">
      <c r="A39" s="883" t="s">
        <v>179</v>
      </c>
      <c r="B39" s="919"/>
      <c r="C39" s="920"/>
      <c r="D39" s="1439" t="str">
        <f>+A39</f>
        <v>Descripciones</v>
      </c>
      <c r="E39" s="1440"/>
      <c r="F39" s="1440"/>
      <c r="G39" s="1440"/>
      <c r="H39" s="1440"/>
      <c r="I39" s="1440"/>
      <c r="J39" s="1440"/>
      <c r="K39" s="1440"/>
      <c r="L39" s="1440"/>
      <c r="M39" s="1440"/>
      <c r="N39" s="1440"/>
      <c r="O39" s="1440"/>
      <c r="P39" s="1441"/>
      <c r="Q39" s="1442" t="str">
        <f>+D39</f>
        <v>Descripciones</v>
      </c>
      <c r="R39" s="1437"/>
      <c r="S39" s="1437"/>
      <c r="T39" s="1437"/>
      <c r="U39" s="1437"/>
      <c r="V39" s="1437"/>
      <c r="W39" s="1437"/>
      <c r="X39" s="1437"/>
      <c r="Y39" s="1437"/>
      <c r="Z39" s="1437"/>
      <c r="AA39" s="1437"/>
      <c r="AB39" s="1437"/>
      <c r="AC39" s="1438"/>
      <c r="AD39" s="1442" t="str">
        <f>+Q39</f>
        <v>Descripciones</v>
      </c>
      <c r="AE39" s="1437"/>
      <c r="AF39" s="1437"/>
      <c r="AG39" s="1437"/>
      <c r="AH39" s="1437"/>
      <c r="AI39" s="1437"/>
      <c r="AJ39" s="1437"/>
      <c r="AK39" s="1437"/>
      <c r="AL39" s="1437"/>
      <c r="AM39" s="1438"/>
    </row>
    <row r="40" spans="1:42" x14ac:dyDescent="0.3">
      <c r="A40" s="151"/>
      <c r="B40" s="40" t="str">
        <f>+B23</f>
        <v>Prueba del ácido</v>
      </c>
      <c r="C40" s="885"/>
      <c r="D40" s="921" t="s">
        <v>195</v>
      </c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885"/>
      <c r="Q40" s="921" t="str">
        <f>+D40</f>
        <v>ó Prueba de Liquidez= (activos circulantes-inventarios)/pasivos circulantes; recomendado: mayor que 2.5</v>
      </c>
      <c r="R40" s="40"/>
      <c r="S40" s="40"/>
      <c r="T40" s="40"/>
      <c r="U40" s="40"/>
      <c r="V40" s="40"/>
      <c r="W40" s="40"/>
      <c r="X40" s="40"/>
      <c r="Y40" s="40"/>
      <c r="Z40" s="40"/>
      <c r="AA40" s="40"/>
      <c r="AB40" s="40"/>
      <c r="AC40" s="885"/>
      <c r="AD40" s="921" t="str">
        <f>+Q40</f>
        <v>ó Prueba de Liquidez= (activos circulantes-inventarios)/pasivos circulantes; recomendado: mayor que 2.5</v>
      </c>
      <c r="AE40" s="40"/>
      <c r="AF40" s="40"/>
      <c r="AG40" s="40"/>
      <c r="AH40" s="40"/>
      <c r="AI40" s="40"/>
      <c r="AJ40" s="40"/>
      <c r="AK40" s="40"/>
      <c r="AL40" s="40"/>
      <c r="AM40" s="885"/>
    </row>
    <row r="41" spans="1:42" x14ac:dyDescent="0.3">
      <c r="A41" s="151"/>
      <c r="B41" s="152" t="str">
        <f>+B26</f>
        <v>Margen de utilidad</v>
      </c>
      <c r="C41" s="153"/>
      <c r="D41" s="921" t="s">
        <v>208</v>
      </c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0"/>
      <c r="P41" s="885"/>
      <c r="Q41" s="151" t="str">
        <f>+D41</f>
        <v>utilidad neta/ ventas, porcentaje de las ventas que logran convertirse en  utilidad disponible  -repartible- para los accionistas</v>
      </c>
      <c r="R41" s="152"/>
      <c r="S41" s="152"/>
      <c r="T41" s="152"/>
      <c r="U41" s="152"/>
      <c r="V41" s="152"/>
      <c r="W41" s="152"/>
      <c r="X41" s="152"/>
      <c r="Y41" s="152"/>
      <c r="Z41" s="152"/>
      <c r="AA41" s="152"/>
      <c r="AB41" s="152"/>
      <c r="AC41" s="153"/>
      <c r="AD41" s="151" t="str">
        <f>+Q41</f>
        <v>utilidad neta/ ventas, porcentaje de las ventas que logran convertirse en  utilidad disponible  -repartible- para los accionistas</v>
      </c>
      <c r="AE41" s="152"/>
      <c r="AF41" s="152"/>
      <c r="AG41" s="152"/>
      <c r="AH41" s="152"/>
      <c r="AI41" s="152"/>
      <c r="AJ41" s="152"/>
      <c r="AK41" s="152"/>
      <c r="AL41" s="152"/>
      <c r="AM41" s="153"/>
    </row>
    <row r="42" spans="1:42" x14ac:dyDescent="0.3">
      <c r="A42" s="151"/>
      <c r="B42" s="40" t="str">
        <f>+B27</f>
        <v>Rendimiento sobre capital contable</v>
      </c>
      <c r="C42" s="885"/>
      <c r="D42" s="921" t="s">
        <v>209</v>
      </c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  <c r="P42" s="885"/>
      <c r="Q42" s="921" t="str">
        <f>+D42</f>
        <v>utilidad neta / capital contable; en que medida se obtienen rendimientos sobre los fondos que los accionistas aportaron</v>
      </c>
      <c r="R42" s="40"/>
      <c r="S42" s="40"/>
      <c r="T42" s="40"/>
      <c r="U42" s="40"/>
      <c r="V42" s="40"/>
      <c r="W42" s="40"/>
      <c r="X42" s="40"/>
      <c r="Y42" s="40"/>
      <c r="Z42" s="40"/>
      <c r="AA42" s="40"/>
      <c r="AB42" s="40"/>
      <c r="AC42" s="885"/>
      <c r="AD42" s="921" t="str">
        <f>+Q42</f>
        <v>utilidad neta / capital contable; en que medida se obtienen rendimientos sobre los fondos que los accionistas aportaron</v>
      </c>
      <c r="AE42" s="40"/>
      <c r="AF42" s="40"/>
      <c r="AG42" s="40"/>
      <c r="AH42" s="40"/>
      <c r="AI42" s="40"/>
      <c r="AJ42" s="40"/>
      <c r="AK42" s="40"/>
      <c r="AL42" s="40"/>
      <c r="AM42" s="885"/>
    </row>
    <row r="43" spans="1:42" ht="15.75" thickBot="1" x14ac:dyDescent="0.35">
      <c r="A43" s="888"/>
      <c r="B43" s="922" t="str">
        <f>+B28</f>
        <v>Rendimiento sobre activos</v>
      </c>
      <c r="C43" s="923"/>
      <c r="D43" s="888" t="s">
        <v>649</v>
      </c>
      <c r="E43" s="922"/>
      <c r="F43" s="922"/>
      <c r="G43" s="922"/>
      <c r="H43" s="922"/>
      <c r="I43" s="922"/>
      <c r="J43" s="922"/>
      <c r="K43" s="922"/>
      <c r="L43" s="922"/>
      <c r="M43" s="922"/>
      <c r="N43" s="922"/>
      <c r="O43" s="922"/>
      <c r="P43" s="923"/>
      <c r="Q43" s="888" t="str">
        <f>+D43</f>
        <v xml:space="preserve">Utilidad neta / activos totales; indica la productividad de los activos </v>
      </c>
      <c r="R43" s="922"/>
      <c r="S43" s="922"/>
      <c r="T43" s="922"/>
      <c r="U43" s="922"/>
      <c r="V43" s="922"/>
      <c r="W43" s="922"/>
      <c r="X43" s="922"/>
      <c r="Y43" s="922"/>
      <c r="Z43" s="922"/>
      <c r="AA43" s="922"/>
      <c r="AB43" s="922"/>
      <c r="AC43" s="923"/>
      <c r="AD43" s="888" t="str">
        <f>+Q43</f>
        <v xml:space="preserve">Utilidad neta / activos totales; indica la productividad de los activos </v>
      </c>
      <c r="AE43" s="922"/>
      <c r="AF43" s="922"/>
      <c r="AG43" s="922"/>
      <c r="AH43" s="922"/>
      <c r="AI43" s="922"/>
      <c r="AJ43" s="922"/>
      <c r="AK43" s="922"/>
      <c r="AL43" s="922"/>
      <c r="AM43" s="923"/>
    </row>
    <row r="44" spans="1:42" x14ac:dyDescent="0.3">
      <c r="A44" s="24"/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  <c r="AI44" s="24"/>
      <c r="AJ44" s="24"/>
      <c r="AK44" s="24"/>
      <c r="AL44" s="24"/>
      <c r="AM44" s="24"/>
    </row>
    <row r="45" spans="1:42" x14ac:dyDescent="0.3"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  <c r="AI45" s="24"/>
      <c r="AJ45" s="24"/>
      <c r="AK45" s="24"/>
      <c r="AL45" s="24"/>
      <c r="AM45" s="24"/>
    </row>
    <row r="46" spans="1:42" x14ac:dyDescent="0.3"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24"/>
      <c r="AJ46" s="24"/>
      <c r="AK46" s="24"/>
      <c r="AL46" s="24"/>
      <c r="AM46" s="24"/>
    </row>
    <row r="47" spans="1:42" x14ac:dyDescent="0.3"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  <c r="AI47" s="24"/>
      <c r="AJ47" s="24"/>
      <c r="AK47" s="24"/>
      <c r="AL47" s="24"/>
      <c r="AM47" s="24"/>
    </row>
    <row r="48" spans="1:42" x14ac:dyDescent="0.3"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24"/>
      <c r="AG48" s="24"/>
      <c r="AH48" s="24"/>
      <c r="AI48" s="24"/>
      <c r="AJ48" s="24"/>
      <c r="AK48" s="24"/>
      <c r="AL48" s="24"/>
      <c r="AM48" s="24"/>
    </row>
    <row r="49" spans="21:39" x14ac:dyDescent="0.3"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  <c r="AI49" s="24"/>
      <c r="AJ49" s="24"/>
      <c r="AK49" s="24"/>
      <c r="AL49" s="24"/>
      <c r="AM49" s="24"/>
    </row>
    <row r="50" spans="21:39" x14ac:dyDescent="0.3"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  <c r="AI50" s="24"/>
      <c r="AJ50" s="24"/>
      <c r="AK50" s="24"/>
      <c r="AL50" s="24"/>
      <c r="AM50" s="24"/>
    </row>
    <row r="51" spans="21:39" x14ac:dyDescent="0.3"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24"/>
      <c r="AJ51" s="24"/>
      <c r="AK51" s="24"/>
      <c r="AL51" s="24"/>
      <c r="AM51" s="24"/>
    </row>
    <row r="52" spans="21:39" x14ac:dyDescent="0.3"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24"/>
      <c r="AG52" s="24"/>
      <c r="AH52" s="24"/>
      <c r="AI52" s="24"/>
      <c r="AJ52" s="24"/>
      <c r="AK52" s="24"/>
      <c r="AL52" s="24"/>
      <c r="AM52" s="24"/>
    </row>
    <row r="53" spans="21:39" x14ac:dyDescent="0.3"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24"/>
      <c r="AG53" s="24"/>
      <c r="AH53" s="24"/>
      <c r="AI53" s="24"/>
      <c r="AJ53" s="24"/>
      <c r="AK53" s="24"/>
      <c r="AL53" s="24"/>
      <c r="AM53" s="24"/>
    </row>
    <row r="54" spans="21:39" x14ac:dyDescent="0.3"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24"/>
      <c r="AG54" s="24"/>
      <c r="AH54" s="24"/>
      <c r="AI54" s="24"/>
      <c r="AJ54" s="24"/>
      <c r="AK54" s="24"/>
      <c r="AL54" s="24"/>
      <c r="AM54" s="24"/>
    </row>
    <row r="55" spans="21:39" x14ac:dyDescent="0.3"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  <c r="AG55" s="24"/>
      <c r="AH55" s="24"/>
      <c r="AI55" s="24"/>
      <c r="AJ55" s="24"/>
      <c r="AK55" s="24"/>
      <c r="AL55" s="24"/>
      <c r="AM55" s="24"/>
    </row>
    <row r="56" spans="21:39" x14ac:dyDescent="0.3"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  <c r="AG56" s="24"/>
      <c r="AH56" s="24"/>
      <c r="AI56" s="24"/>
      <c r="AJ56" s="24"/>
      <c r="AK56" s="24"/>
      <c r="AL56" s="24"/>
      <c r="AM56" s="24"/>
    </row>
    <row r="57" spans="21:39" x14ac:dyDescent="0.3"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24"/>
      <c r="AG57" s="24"/>
      <c r="AH57" s="24"/>
      <c r="AI57" s="24"/>
      <c r="AJ57" s="24"/>
      <c r="AK57" s="24"/>
      <c r="AL57" s="24"/>
      <c r="AM57" s="24"/>
    </row>
    <row r="58" spans="21:39" x14ac:dyDescent="0.3"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24"/>
      <c r="AG58" s="24"/>
      <c r="AH58" s="24"/>
      <c r="AI58" s="24"/>
      <c r="AJ58" s="24"/>
      <c r="AK58" s="24"/>
      <c r="AL58" s="24"/>
      <c r="AM58" s="24"/>
    </row>
    <row r="59" spans="21:39" x14ac:dyDescent="0.3"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24"/>
      <c r="AF59" s="24"/>
      <c r="AG59" s="24"/>
      <c r="AH59" s="24"/>
      <c r="AI59" s="24"/>
      <c r="AJ59" s="24"/>
      <c r="AK59" s="24"/>
      <c r="AL59" s="24"/>
      <c r="AM59" s="24"/>
    </row>
    <row r="60" spans="21:39" x14ac:dyDescent="0.3"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24"/>
      <c r="AF60" s="24"/>
      <c r="AG60" s="24"/>
      <c r="AH60" s="24"/>
      <c r="AI60" s="24"/>
      <c r="AJ60" s="24"/>
      <c r="AK60" s="24"/>
      <c r="AL60" s="24"/>
      <c r="AM60" s="24"/>
    </row>
    <row r="61" spans="21:39" x14ac:dyDescent="0.3"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  <c r="AF61" s="24"/>
      <c r="AG61" s="24"/>
      <c r="AH61" s="24"/>
      <c r="AI61" s="24"/>
      <c r="AJ61" s="24"/>
      <c r="AK61" s="24"/>
      <c r="AL61" s="24"/>
      <c r="AM61" s="24"/>
    </row>
  </sheetData>
  <mergeCells count="60">
    <mergeCell ref="AH4:AM4"/>
    <mergeCell ref="A5:C5"/>
    <mergeCell ref="A6:C6"/>
    <mergeCell ref="AH5:AI5"/>
    <mergeCell ref="AH6:AI6"/>
    <mergeCell ref="AK5:AL5"/>
    <mergeCell ref="AK6:AL6"/>
    <mergeCell ref="U5:W5"/>
    <mergeCell ref="U6:W6"/>
    <mergeCell ref="X5:Y5"/>
    <mergeCell ref="AA5:AB5"/>
    <mergeCell ref="H4:J4"/>
    <mergeCell ref="H5:J5"/>
    <mergeCell ref="H6:J6"/>
    <mergeCell ref="K4:P4"/>
    <mergeCell ref="K6:L6"/>
    <mergeCell ref="N6:O6"/>
    <mergeCell ref="X4:AC4"/>
    <mergeCell ref="U4:W4"/>
    <mergeCell ref="K5:L5"/>
    <mergeCell ref="N5:O5"/>
    <mergeCell ref="X6:Y6"/>
    <mergeCell ref="AA6:AB6"/>
    <mergeCell ref="A1:C2"/>
    <mergeCell ref="AH1:AJ1"/>
    <mergeCell ref="AK1:AM1"/>
    <mergeCell ref="D2:P2"/>
    <mergeCell ref="Q2:AC2"/>
    <mergeCell ref="AD2:AM2"/>
    <mergeCell ref="Q1:W1"/>
    <mergeCell ref="X1:Z1"/>
    <mergeCell ref="AA1:AC1"/>
    <mergeCell ref="AD1:AG1"/>
    <mergeCell ref="D1:J1"/>
    <mergeCell ref="K1:M1"/>
    <mergeCell ref="N1:P1"/>
    <mergeCell ref="AC9:AC10"/>
    <mergeCell ref="Q9:AB9"/>
    <mergeCell ref="Q25:AC25"/>
    <mergeCell ref="A9:B10"/>
    <mergeCell ref="C9:C10"/>
    <mergeCell ref="D25:P25"/>
    <mergeCell ref="D9:O9"/>
    <mergeCell ref="P9:P10"/>
    <mergeCell ref="D17:P17"/>
    <mergeCell ref="D12:P12"/>
    <mergeCell ref="D22:P22"/>
    <mergeCell ref="D39:P39"/>
    <mergeCell ref="Q39:AC39"/>
    <mergeCell ref="AD39:AM39"/>
    <mergeCell ref="D30:P30"/>
    <mergeCell ref="Q30:AC30"/>
    <mergeCell ref="AD30:AM30"/>
    <mergeCell ref="AD22:AM22"/>
    <mergeCell ref="AD17:AM17"/>
    <mergeCell ref="AD12:AM12"/>
    <mergeCell ref="AD25:AM25"/>
    <mergeCell ref="Q22:AC22"/>
    <mergeCell ref="Q17:AC17"/>
    <mergeCell ref="Q12:AC12"/>
  </mergeCells>
  <phoneticPr fontId="20" type="noConversion"/>
  <pageMargins left="0.78740157480314965" right="0.39370078740157483" top="0.59055118110236227" bottom="0.59055118110236227" header="0" footer="0.39370078740157483"/>
  <pageSetup scale="56" fitToWidth="3" orientation="landscape" blackAndWhite="1" horizontalDpi="4294967293" verticalDpi="4294967293" r:id="rId1"/>
  <headerFooter alignWithMargins="0">
    <oddHeader>&amp;C&amp;"Arial,Negrita"&amp;7Estudio de Factibilidad para el establecimiento de un mercado de mariscos en Hermosillo, Sonora</oddHeader>
    <oddFooter>&amp;L&amp;"Arial,Normal"&amp;7&amp;F - Hoja: &amp;A&amp;C&amp;"Arial,Normal"&amp;7&amp;D&amp;R&amp;"Arial,Normal"&amp;7&amp;P de  &amp;N</oddFooter>
  </headerFooter>
  <colBreaks count="2" manualBreakCount="2">
    <brk id="16" max="46" man="1"/>
    <brk id="29" max="42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FF0000"/>
    <pageSetUpPr fitToPage="1"/>
  </sheetPr>
  <dimension ref="A1:L42"/>
  <sheetViews>
    <sheetView zoomScale="80" zoomScaleNormal="80" workbookViewId="0">
      <selection activeCell="D15" sqref="D15"/>
    </sheetView>
  </sheetViews>
  <sheetFormatPr baseColWidth="10" defaultColWidth="11" defaultRowHeight="15" x14ac:dyDescent="0.3"/>
  <cols>
    <col min="1" max="1" width="5.875" style="6" customWidth="1"/>
    <col min="2" max="2" width="24.625" style="6" customWidth="1"/>
    <col min="3" max="12" width="15.25" style="6" customWidth="1"/>
    <col min="13" max="16384" width="11" style="6"/>
  </cols>
  <sheetData>
    <row r="1" spans="1:12" ht="22.15" customHeight="1" thickBot="1" x14ac:dyDescent="0.35">
      <c r="A1" s="1453" t="s">
        <v>363</v>
      </c>
      <c r="B1" s="1454"/>
      <c r="C1" s="1501" t="str">
        <f>+'1 Indicadores'!AD1</f>
        <v>La Lasaña de Garfield</v>
      </c>
      <c r="D1" s="1459"/>
      <c r="E1" s="1459"/>
      <c r="F1" s="1459"/>
      <c r="G1" s="1459" t="str">
        <f>+'1 Indicadores'!AH1</f>
        <v>Martin Delgado</v>
      </c>
      <c r="H1" s="1459"/>
      <c r="I1" s="1459"/>
      <c r="J1" s="1459">
        <f>+'1 Indicadores'!AK1</f>
        <v>42747</v>
      </c>
      <c r="K1" s="1459"/>
      <c r="L1" s="1492"/>
    </row>
    <row r="2" spans="1:12" ht="22.15" customHeight="1" thickBot="1" x14ac:dyDescent="0.35">
      <c r="A2" s="1499">
        <f>+'19 Resumen'!D2</f>
        <v>42747</v>
      </c>
      <c r="B2" s="1500"/>
      <c r="C2" s="1493" t="s">
        <v>182</v>
      </c>
      <c r="D2" s="1467"/>
      <c r="E2" s="1467"/>
      <c r="F2" s="1467"/>
      <c r="G2" s="1467"/>
      <c r="H2" s="1467"/>
      <c r="I2" s="1467"/>
      <c r="J2" s="1467"/>
      <c r="K2" s="1467"/>
      <c r="L2" s="1468"/>
    </row>
    <row r="3" spans="1:12" ht="22.15" customHeight="1" thickBot="1" x14ac:dyDescent="0.35">
      <c r="A3" s="1497" t="s">
        <v>136</v>
      </c>
      <c r="B3" s="1498"/>
      <c r="C3" s="299">
        <f>+'3 Balance'!AD10</f>
        <v>2017</v>
      </c>
      <c r="D3" s="82">
        <f>+C3+1</f>
        <v>2018</v>
      </c>
      <c r="E3" s="82">
        <f t="shared" ref="E3:L3" si="0">+D3+1</f>
        <v>2019</v>
      </c>
      <c r="F3" s="82">
        <f t="shared" si="0"/>
        <v>2020</v>
      </c>
      <c r="G3" s="82">
        <f t="shared" si="0"/>
        <v>2021</v>
      </c>
      <c r="H3" s="82">
        <f t="shared" si="0"/>
        <v>2022</v>
      </c>
      <c r="I3" s="82">
        <f t="shared" si="0"/>
        <v>2023</v>
      </c>
      <c r="J3" s="82">
        <f t="shared" si="0"/>
        <v>2024</v>
      </c>
      <c r="K3" s="82">
        <f t="shared" si="0"/>
        <v>2025</v>
      </c>
      <c r="L3" s="83">
        <f t="shared" si="0"/>
        <v>2026</v>
      </c>
    </row>
    <row r="4" spans="1:12" ht="15.75" thickBot="1" x14ac:dyDescent="0.35">
      <c r="A4" s="152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</row>
    <row r="5" spans="1:12" x14ac:dyDescent="0.3">
      <c r="A5" s="1494" t="s">
        <v>183</v>
      </c>
      <c r="B5" s="1495"/>
      <c r="C5" s="1495"/>
      <c r="D5" s="1495"/>
      <c r="E5" s="1495"/>
      <c r="F5" s="1495"/>
      <c r="G5" s="1495"/>
      <c r="H5" s="1495"/>
      <c r="I5" s="1495"/>
      <c r="J5" s="1495"/>
      <c r="K5" s="1495"/>
      <c r="L5" s="1496"/>
    </row>
    <row r="6" spans="1:12" ht="16.5" x14ac:dyDescent="0.35">
      <c r="A6" s="467" t="s">
        <v>17</v>
      </c>
      <c r="B6" s="769"/>
      <c r="C6" s="770">
        <f>+'4 Estado de Resultados'!AD12</f>
        <v>11857230</v>
      </c>
      <c r="D6" s="770">
        <f>+'4 Estado de Resultados'!AE12</f>
        <v>21322570.5</v>
      </c>
      <c r="E6" s="770">
        <f>+'4 Estado de Resultados'!AF12</f>
        <v>23454827.550000004</v>
      </c>
      <c r="F6" s="770">
        <f>+'4 Estado de Resultados'!AG12</f>
        <v>25800310.305000003</v>
      </c>
      <c r="G6" s="770">
        <f>+'4 Estado de Resultados'!AH12</f>
        <v>28380341.335500006</v>
      </c>
      <c r="H6" s="770">
        <f>+'4 Estado de Resultados'!AI12</f>
        <v>30650768.642340008</v>
      </c>
      <c r="I6" s="770">
        <f>+'4 Estado de Resultados'!AJ12</f>
        <v>33102830.133727208</v>
      </c>
      <c r="J6" s="770">
        <f>+'4 Estado de Resultados'!AK12</f>
        <v>35751056.544425391</v>
      </c>
      <c r="K6" s="770">
        <f>+'4 Estado de Resultados'!AL12</f>
        <v>38611141.067979425</v>
      </c>
      <c r="L6" s="770">
        <f>+'4 Estado de Resultados'!AM12</f>
        <v>41700032.353417777</v>
      </c>
    </row>
    <row r="7" spans="1:12" x14ac:dyDescent="0.3">
      <c r="A7" s="1490" t="s">
        <v>200</v>
      </c>
      <c r="B7" s="1491"/>
      <c r="C7" s="771">
        <f>IF(C$6=0,0,+'12 Costo Materias Primas'!AC23/C$6)*100</f>
        <v>41.082862523540491</v>
      </c>
      <c r="D7" s="771">
        <f>IF(D$6=0,0,+'12 Costo Materias Primas'!AD23/D$6)*100</f>
        <v>41.082862523540499</v>
      </c>
      <c r="E7" s="771">
        <f>IF(E$6=0,0,+'12 Costo Materias Primas'!AE23/E$6)*100</f>
        <v>41.082862523540484</v>
      </c>
      <c r="F7" s="771">
        <f>IF(F$6=0,0,+'12 Costo Materias Primas'!AF23/F$6)*100</f>
        <v>41.082862523540484</v>
      </c>
      <c r="G7" s="771">
        <f>IF(G$6=0,0,+'12 Costo Materias Primas'!AG23/G$6)*100</f>
        <v>41.082862523540491</v>
      </c>
      <c r="H7" s="771">
        <f>IF(H$6=0,0,+'12 Costo Materias Primas'!AH23/H$6)*100</f>
        <v>41.082862523540491</v>
      </c>
      <c r="I7" s="771">
        <f>IF(I$6=0,0,+'12 Costo Materias Primas'!AI23/I$6)*100</f>
        <v>41.082862523540484</v>
      </c>
      <c r="J7" s="771">
        <f>IF(J$6=0,0,+'12 Costo Materias Primas'!AJ23/J$6)*100</f>
        <v>41.082862523540484</v>
      </c>
      <c r="K7" s="771">
        <f>IF(K$6=0,0,+'12 Costo Materias Primas'!AK23/K$6)*100</f>
        <v>41.082862523540491</v>
      </c>
      <c r="L7" s="771">
        <f>IF(L$6=0,0,+'12 Costo Materias Primas'!AL23/L$6)*100</f>
        <v>41.082862523540491</v>
      </c>
    </row>
    <row r="8" spans="1:12" x14ac:dyDescent="0.3">
      <c r="A8" s="772"/>
      <c r="B8" s="763" t="str">
        <f>+'12 Costo Materias Primas'!A17</f>
        <v>Plato fuerte</v>
      </c>
      <c r="C8" s="771">
        <f>IF(C$6=0,0,+'12 Costo Materias Primas'!AC17/C$6)*100</f>
        <v>17.13747645951036</v>
      </c>
      <c r="D8" s="771">
        <f>IF(D$6=0,0,+'12 Costo Materias Primas'!AD17/D$6)*100</f>
        <v>17.13747645951036</v>
      </c>
      <c r="E8" s="771">
        <f>IF(E$6=0,0,+'12 Costo Materias Primas'!AE17/E$6)*100</f>
        <v>17.137476459510356</v>
      </c>
      <c r="F8" s="771">
        <f>IF(F$6=0,0,+'12 Costo Materias Primas'!AF17/F$6)*100</f>
        <v>17.137476459510356</v>
      </c>
      <c r="G8" s="771">
        <f>IF(G$6=0,0,+'12 Costo Materias Primas'!AG17/G$6)*100</f>
        <v>17.137476459510356</v>
      </c>
      <c r="H8" s="771">
        <f>IF(H$6=0,0,+'12 Costo Materias Primas'!AH17/H$6)*100</f>
        <v>17.13747645951036</v>
      </c>
      <c r="I8" s="771">
        <f>IF(I$6=0,0,+'12 Costo Materias Primas'!AI17/I$6)*100</f>
        <v>17.13747645951036</v>
      </c>
      <c r="J8" s="771">
        <f>IF(J$6=0,0,+'12 Costo Materias Primas'!AJ17/J$6)*100</f>
        <v>17.137476459510356</v>
      </c>
      <c r="K8" s="771">
        <f>IF(K$6=0,0,+'12 Costo Materias Primas'!AK17/K$6)*100</f>
        <v>17.13747645951036</v>
      </c>
      <c r="L8" s="771">
        <f>IF(L$6=0,0,+'12 Costo Materias Primas'!AL17/L$6)*100</f>
        <v>17.13747645951036</v>
      </c>
    </row>
    <row r="9" spans="1:12" x14ac:dyDescent="0.3">
      <c r="A9" s="772"/>
      <c r="B9" s="763" t="str">
        <f>+'12 Costo Materias Primas'!A18</f>
        <v>Ensaladas</v>
      </c>
      <c r="C9" s="771">
        <f>IF(C$6=0,0,+'12 Costo Materias Primas'!AC18/C$6)*100</f>
        <v>7.382297551789077</v>
      </c>
      <c r="D9" s="771">
        <f>IF(D$6=0,0,+'12 Costo Materias Primas'!AD18/D$6)*100</f>
        <v>7.3822975517890788</v>
      </c>
      <c r="E9" s="771">
        <f>IF(E$6=0,0,+'12 Costo Materias Primas'!AE18/E$6)*100</f>
        <v>7.382297551789077</v>
      </c>
      <c r="F9" s="771">
        <f>IF(F$6=0,0,+'12 Costo Materias Primas'!AF18/F$6)*100</f>
        <v>7.3822975517890788</v>
      </c>
      <c r="G9" s="771">
        <f>IF(G$6=0,0,+'12 Costo Materias Primas'!AG18/G$6)*100</f>
        <v>7.3822975517890788</v>
      </c>
      <c r="H9" s="771">
        <f>IF(H$6=0,0,+'12 Costo Materias Primas'!AH18/H$6)*100</f>
        <v>7.382297551789077</v>
      </c>
      <c r="I9" s="771">
        <f>IF(I$6=0,0,+'12 Costo Materias Primas'!AI18/I$6)*100</f>
        <v>7.382297551789077</v>
      </c>
      <c r="J9" s="771">
        <f>IF(J$6=0,0,+'12 Costo Materias Primas'!AJ18/J$6)*100</f>
        <v>7.382297551789077</v>
      </c>
      <c r="K9" s="771">
        <f>IF(K$6=0,0,+'12 Costo Materias Primas'!AK18/K$6)*100</f>
        <v>7.3822975517890761</v>
      </c>
      <c r="L9" s="771">
        <f>IF(L$6=0,0,+'12 Costo Materias Primas'!AL18/L$6)*100</f>
        <v>7.382297551789077</v>
      </c>
    </row>
    <row r="10" spans="1:12" x14ac:dyDescent="0.3">
      <c r="A10" s="772"/>
      <c r="B10" s="763" t="str">
        <f>+'12 Costo Materias Primas'!A19</f>
        <v>Entradas</v>
      </c>
      <c r="C10" s="771">
        <f>IF(C$6=0,0,+'12 Costo Materias Primas'!AC19/C$6)*100</f>
        <v>5.3389830508474576</v>
      </c>
      <c r="D10" s="771">
        <f>IF(D$6=0,0,+'12 Costo Materias Primas'!AD19/D$6)*100</f>
        <v>5.3389830508474585</v>
      </c>
      <c r="E10" s="771">
        <f>IF(E$6=0,0,+'12 Costo Materias Primas'!AE19/E$6)*100</f>
        <v>5.3389830508474585</v>
      </c>
      <c r="F10" s="771">
        <f>IF(F$6=0,0,+'12 Costo Materias Primas'!AF19/F$6)*100</f>
        <v>5.3389830508474585</v>
      </c>
      <c r="G10" s="771">
        <f>IF(G$6=0,0,+'12 Costo Materias Primas'!AG19/G$6)*100</f>
        <v>5.3389830508474585</v>
      </c>
      <c r="H10" s="771">
        <f>IF(H$6=0,0,+'12 Costo Materias Primas'!AH19/H$6)*100</f>
        <v>5.3389830508474594</v>
      </c>
      <c r="I10" s="771">
        <f>IF(I$6=0,0,+'12 Costo Materias Primas'!AI19/I$6)*100</f>
        <v>5.3389830508474585</v>
      </c>
      <c r="J10" s="771">
        <f>IF(J$6=0,0,+'12 Costo Materias Primas'!AJ19/J$6)*100</f>
        <v>5.3389830508474585</v>
      </c>
      <c r="K10" s="771">
        <f>IF(K$6=0,0,+'12 Costo Materias Primas'!AK19/K$6)*100</f>
        <v>5.3389830508474585</v>
      </c>
      <c r="L10" s="771">
        <f>IF(L$6=0,0,+'12 Costo Materias Primas'!AL19/L$6)*100</f>
        <v>5.3389830508474585</v>
      </c>
    </row>
    <row r="11" spans="1:12" x14ac:dyDescent="0.3">
      <c r="A11" s="772"/>
      <c r="B11" s="763" t="str">
        <f>+'12 Costo Materias Primas'!A20</f>
        <v>Postres</v>
      </c>
      <c r="C11" s="771">
        <f>IF(C$6=0,0,+'12 Costo Materias Primas'!AC20/C$6)*100</f>
        <v>7.1186440677966107</v>
      </c>
      <c r="D11" s="771">
        <f>IF(D$6=0,0,+'12 Costo Materias Primas'!AD20/D$6)*100</f>
        <v>7.1186440677966107</v>
      </c>
      <c r="E11" s="771">
        <f>IF(E$6=0,0,+'12 Costo Materias Primas'!AE20/E$6)*100</f>
        <v>7.118644067796609</v>
      </c>
      <c r="F11" s="771">
        <f>IF(F$6=0,0,+'12 Costo Materias Primas'!AF20/F$6)*100</f>
        <v>7.118644067796609</v>
      </c>
      <c r="G11" s="771">
        <f>IF(G$6=0,0,+'12 Costo Materias Primas'!AG20/G$6)*100</f>
        <v>7.1186440677966107</v>
      </c>
      <c r="H11" s="771">
        <f>IF(H$6=0,0,+'12 Costo Materias Primas'!AH20/H$6)*100</f>
        <v>7.118644067796609</v>
      </c>
      <c r="I11" s="771">
        <f>IF(I$6=0,0,+'12 Costo Materias Primas'!AI20/I$6)*100</f>
        <v>7.1186440677966116</v>
      </c>
      <c r="J11" s="771">
        <f>IF(J$6=0,0,+'12 Costo Materias Primas'!AJ20/J$6)*100</f>
        <v>7.1186440677966107</v>
      </c>
      <c r="K11" s="771">
        <f>IF(K$6=0,0,+'12 Costo Materias Primas'!AK20/K$6)*100</f>
        <v>7.1186440677966107</v>
      </c>
      <c r="L11" s="771">
        <f>IF(L$6=0,0,+'12 Costo Materias Primas'!AL20/L$6)*100</f>
        <v>7.1186440677966107</v>
      </c>
    </row>
    <row r="12" spans="1:12" x14ac:dyDescent="0.3">
      <c r="A12" s="772"/>
      <c r="B12" s="763" t="str">
        <f>+'12 Costo Materias Primas'!A21</f>
        <v>Bebidas sin licor</v>
      </c>
      <c r="C12" s="771">
        <f>IF(C$6=0,0,+'12 Costo Materias Primas'!AC21/C$6)*100</f>
        <v>1.0546139359698681</v>
      </c>
      <c r="D12" s="771">
        <f>IF(D$6=0,0,+'12 Costo Materias Primas'!AD21/D$6)*100</f>
        <v>1.0546139359698683</v>
      </c>
      <c r="E12" s="771">
        <f>IF(E$6=0,0,+'12 Costo Materias Primas'!AE21/E$6)*100</f>
        <v>1.0546139359698681</v>
      </c>
      <c r="F12" s="771">
        <f>IF(F$6=0,0,+'12 Costo Materias Primas'!AF21/F$6)*100</f>
        <v>1.0546139359698683</v>
      </c>
      <c r="G12" s="771">
        <f>IF(G$6=0,0,+'12 Costo Materias Primas'!AG21/G$6)*100</f>
        <v>1.0546139359698681</v>
      </c>
      <c r="H12" s="771">
        <f>IF(H$6=0,0,+'12 Costo Materias Primas'!AH21/H$6)*100</f>
        <v>1.0546139359698681</v>
      </c>
      <c r="I12" s="771">
        <f>IF(I$6=0,0,+'12 Costo Materias Primas'!AI21/I$6)*100</f>
        <v>1.0546139359698683</v>
      </c>
      <c r="J12" s="771">
        <f>IF(J$6=0,0,+'12 Costo Materias Primas'!AJ21/J$6)*100</f>
        <v>1.0546139359698681</v>
      </c>
      <c r="K12" s="771">
        <f>IF(K$6=0,0,+'12 Costo Materias Primas'!AK21/K$6)*100</f>
        <v>1.0546139359698681</v>
      </c>
      <c r="L12" s="771">
        <f>IF(L$6=0,0,+'12 Costo Materias Primas'!AL21/L$6)*100</f>
        <v>1.0546139359698681</v>
      </c>
    </row>
    <row r="13" spans="1:12" x14ac:dyDescent="0.3">
      <c r="A13" s="772"/>
      <c r="B13" s="763" t="str">
        <f>+'12 Costo Materias Primas'!A22</f>
        <v>Bebidas con licor</v>
      </c>
      <c r="C13" s="771">
        <f>IF(C$6=0,0,+'12 Costo Materias Primas'!AC22/C$6)*100</f>
        <v>3.050847457627119</v>
      </c>
      <c r="D13" s="771">
        <f>IF(D$6=0,0,+'12 Costo Materias Primas'!AD22/D$6)*100</f>
        <v>3.0508474576271185</v>
      </c>
      <c r="E13" s="771">
        <f>IF(E$6=0,0,+'12 Costo Materias Primas'!AE22/E$6)*100</f>
        <v>3.0508474576271181</v>
      </c>
      <c r="F13" s="771">
        <f>IF(F$6=0,0,+'12 Costo Materias Primas'!AF22/F$6)*100</f>
        <v>3.050847457627119</v>
      </c>
      <c r="G13" s="771">
        <f>IF(G$6=0,0,+'12 Costo Materias Primas'!AG22/G$6)*100</f>
        <v>3.050847457627119</v>
      </c>
      <c r="H13" s="771">
        <f>IF(H$6=0,0,+'12 Costo Materias Primas'!AH22/H$6)*100</f>
        <v>3.050847457627119</v>
      </c>
      <c r="I13" s="771">
        <f>IF(I$6=0,0,+'12 Costo Materias Primas'!AI22/I$6)*100</f>
        <v>3.050847457627119</v>
      </c>
      <c r="J13" s="771">
        <f>IF(J$6=0,0,+'12 Costo Materias Primas'!AJ22/J$6)*100</f>
        <v>3.050847457627119</v>
      </c>
      <c r="K13" s="771">
        <f>IF(K$6=0,0,+'12 Costo Materias Primas'!AK22/K$6)*100</f>
        <v>3.050847457627119</v>
      </c>
      <c r="L13" s="771">
        <f>IF(L$6=0,0,+'12 Costo Materias Primas'!AL22/L$6)*100</f>
        <v>3.050847457627119</v>
      </c>
    </row>
    <row r="14" spans="1:12" x14ac:dyDescent="0.3">
      <c r="A14" s="772"/>
      <c r="B14" s="763"/>
      <c r="C14" s="771">
        <f>IF(C$6=0,0,+'12 Costo Materias Primas'!AC24/C$6)*100</f>
        <v>0</v>
      </c>
      <c r="D14" s="771">
        <f>IF(D$6=0,0,+'12 Costo Materias Primas'!AD24/D$6)*100</f>
        <v>0</v>
      </c>
      <c r="E14" s="771">
        <f>IF(E$6=0,0,+'12 Costo Materias Primas'!AE24/E$6)*100</f>
        <v>0</v>
      </c>
      <c r="F14" s="771">
        <f>IF(F$6=0,0,+'12 Costo Materias Primas'!AF24/F$6)*100</f>
        <v>0</v>
      </c>
      <c r="G14" s="771">
        <f>IF(G$6=0,0,+'12 Costo Materias Primas'!AG24/G$6)*100</f>
        <v>0</v>
      </c>
      <c r="H14" s="771">
        <f>IF(H$6=0,0,+'12 Costo Materias Primas'!AH24/H$6)*100</f>
        <v>0</v>
      </c>
      <c r="I14" s="771">
        <f>IF(I$6=0,0,+'12 Costo Materias Primas'!AI24/I$6)*100</f>
        <v>0</v>
      </c>
      <c r="J14" s="771">
        <f>IF(J$6=0,0,+'12 Costo Materias Primas'!AJ24/J$6)*100</f>
        <v>0</v>
      </c>
      <c r="K14" s="771">
        <f>IF(K$6=0,0,+'12 Costo Materias Primas'!AK24/K$6)*100</f>
        <v>0</v>
      </c>
      <c r="L14" s="771">
        <f>IF(L$6=0,0,+'12 Costo Materias Primas'!AL24/L$6)*100</f>
        <v>0</v>
      </c>
    </row>
    <row r="15" spans="1:12" x14ac:dyDescent="0.3">
      <c r="A15" s="560" t="s">
        <v>181</v>
      </c>
      <c r="B15" s="773"/>
      <c r="C15" s="771">
        <f>IF(C6=0,0,+'13 Costo Personal d Operaciones'!AE16/C6)*100</f>
        <v>8.6023464164901924</v>
      </c>
      <c r="D15" s="771">
        <f>IF(D6=0,0,+'13 Costo Personal d Operaciones'!AF16/D6)*100</f>
        <v>7.749534700799793</v>
      </c>
      <c r="E15" s="771">
        <f>IF(E6=0,0,+'13 Costo Personal d Operaciones'!AG16/E6)*100</f>
        <v>7.6086340698761594</v>
      </c>
      <c r="F15" s="771">
        <f>IF(F6=0,0,+'13 Costo Personal d Operaciones'!AH16/F6)*100</f>
        <v>7.4702952686056836</v>
      </c>
      <c r="G15" s="771">
        <f>IF(G6=0,0,+'13 Costo Personal d Operaciones'!AI16/G6)*100</f>
        <v>7.3344717182674009</v>
      </c>
      <c r="H15" s="771">
        <f>IF(H6=0,0,+'13 Costo Personal d Operaciones'!AJ16/H6)*100</f>
        <v>7.2258128779967716</v>
      </c>
      <c r="I15" s="771">
        <f>IF(I6=0,0,+'13 Costo Personal d Operaciones'!AK16/I6)*100</f>
        <v>7.1187637983227452</v>
      </c>
      <c r="J15" s="771">
        <f>IF(J6=0,0,+'13 Costo Personal d Operaciones'!AL16/J6)*100</f>
        <v>7.0133006309401864</v>
      </c>
      <c r="K15" s="771">
        <f>IF(K6=0,0,+'13 Costo Personal d Operaciones'!AM16/K6)*100</f>
        <v>6.9093998808521837</v>
      </c>
      <c r="L15" s="774">
        <f>IF(L6=0,0,+'13 Costo Personal d Operaciones'!AN16/L6)*100</f>
        <v>6.8070384011358547</v>
      </c>
    </row>
    <row r="16" spans="1:12" x14ac:dyDescent="0.3">
      <c r="A16" s="775" t="s">
        <v>13</v>
      </c>
      <c r="B16" s="773"/>
      <c r="C16" s="771">
        <f>IF(C$6=0,0,+'4 Estado de Resultados'!AD14/C$6)*100</f>
        <v>49.685208940030684</v>
      </c>
      <c r="D16" s="771">
        <f>IF(D$6=0,0,+'4 Estado de Resultados'!AE14/D$6)*100</f>
        <v>48.832397224340291</v>
      </c>
      <c r="E16" s="771">
        <f>IF(E$6=0,0,+'4 Estado de Resultados'!AF14/E$6)*100</f>
        <v>48.691496593416645</v>
      </c>
      <c r="F16" s="771">
        <f>IF(F$6=0,0,+'4 Estado de Resultados'!AG14/F$6)*100</f>
        <v>48.553157792146166</v>
      </c>
      <c r="G16" s="771">
        <f>IF(G$6=0,0,+'4 Estado de Resultados'!AH14/G$6)*100</f>
        <v>48.417334241807893</v>
      </c>
      <c r="H16" s="771">
        <f>IF(H$6=0,0,+'4 Estado de Resultados'!AI14/H$6)*100</f>
        <v>48.308675401537265</v>
      </c>
      <c r="I16" s="771">
        <f>IF(I$6=0,0,+'4 Estado de Resultados'!AJ14/I$6)*100</f>
        <v>48.20162632186323</v>
      </c>
      <c r="J16" s="771">
        <f>IF(J$6=0,0,+'4 Estado de Resultados'!AK14/J$6)*100</f>
        <v>48.096163154480678</v>
      </c>
      <c r="K16" s="771">
        <f>IF(K$6=0,0,+'4 Estado de Resultados'!AL14/K$6)*100</f>
        <v>47.992262404392676</v>
      </c>
      <c r="L16" s="774">
        <f>IF(L$6=0,0,+'4 Estado de Resultados'!AM14/L$6)*100</f>
        <v>47.889900924676347</v>
      </c>
    </row>
    <row r="17" spans="1:12" x14ac:dyDescent="0.3">
      <c r="A17" s="775" t="s">
        <v>19</v>
      </c>
      <c r="B17" s="773"/>
      <c r="C17" s="771">
        <f>IF(C$6=0,0,+'4 Estado de Resultados'!AD17/C$6)*100</f>
        <v>3.6737163738917098</v>
      </c>
      <c r="D17" s="771">
        <f>IF(D$6=0,0,+'4 Estado de Resultados'!AE17/D$6)*100</f>
        <v>3.3974374712467239</v>
      </c>
      <c r="E17" s="771">
        <f>IF(E$6=0,0,+'4 Estado de Resultados'!AF17/E$6)*100</f>
        <v>3.3433043083704104</v>
      </c>
      <c r="F17" s="771">
        <f>IF(F$6=0,0,+'4 Estado de Resultados'!AG17/F$6)*100</f>
        <v>3.1287074692414243</v>
      </c>
      <c r="G17" s="771">
        <f>IF(G$6=0,0,+'4 Estado de Resultados'!AH17/G$6)*100</f>
        <v>3.0854076044556944</v>
      </c>
      <c r="H17" s="771">
        <f>IF(H$6=0,0,+'4 Estado de Resultados'!AI17/H$6)*100</f>
        <v>2.5133737453460316</v>
      </c>
      <c r="I17" s="771">
        <f>IF(I$6=0,0,+'4 Estado de Resultados'!AJ17/I$6)*100</f>
        <v>2.3686254331801582</v>
      </c>
      <c r="J17" s="771">
        <f>IF(J$6=0,0,+'4 Estado de Resultados'!AK17/J$6)*100</f>
        <v>2.3267507945993553</v>
      </c>
      <c r="K17" s="771">
        <f>IF(K$6=0,0,+'4 Estado de Resultados'!AL17/K$6)*100</f>
        <v>2.2161640194609915</v>
      </c>
      <c r="L17" s="774">
        <f>IF(L$6=0,0,+'4 Estado de Resultados'!AM17/L$6)*100</f>
        <v>2.0304040702821715</v>
      </c>
    </row>
    <row r="18" spans="1:12" x14ac:dyDescent="0.3">
      <c r="A18" s="775" t="s">
        <v>15</v>
      </c>
      <c r="B18" s="773"/>
      <c r="C18" s="771">
        <f>IF(C$6=0,0,+'4 Estado de Resultados'!AD20/C$6)*100</f>
        <v>17.848495390576044</v>
      </c>
      <c r="D18" s="771">
        <f>IF(D$6=0,0,+'4 Estado de Resultados'!AE20/D$6)*100</f>
        <v>12.532301921571792</v>
      </c>
      <c r="E18" s="771">
        <f>IF(E$6=0,0,+'4 Estado de Resultados'!AF20/E$6)*100</f>
        <v>11.967211105118528</v>
      </c>
      <c r="F18" s="771">
        <f>IF(F$6=0,0,+'4 Estado de Resultados'!AG20/F$6)*100</f>
        <v>11.714436420166924</v>
      </c>
      <c r="G18" s="771">
        <f>IF(G$6=0,0,+'4 Estado de Resultados'!AH20/G$6)*100</f>
        <v>11.321694291812122</v>
      </c>
      <c r="H18" s="771">
        <f>IF(H$6=0,0,+'4 Estado de Resultados'!AI20/H$6)*100</f>
        <v>10.673166519041059</v>
      </c>
      <c r="I18" s="771">
        <f>IF(I$6=0,0,+'4 Estado de Resultados'!AJ20/I$6)*100</f>
        <v>10.48637487271135</v>
      </c>
      <c r="J18" s="771">
        <f>IF(J$6=0,0,+'4 Estado de Resultados'!AK20/J$6)*100</f>
        <v>10.126764070472847</v>
      </c>
      <c r="K18" s="771">
        <f>IF(K$6=0,0,+'4 Estado de Resultados'!AL20/K$6)*100</f>
        <v>9.5923129445303132</v>
      </c>
      <c r="L18" s="774">
        <f>IF(L$6=0,0,+'4 Estado de Resultados'!AM20/L$6)*100</f>
        <v>9.4369802112076346</v>
      </c>
    </row>
    <row r="19" spans="1:12" x14ac:dyDescent="0.3">
      <c r="A19" s="775" t="s">
        <v>96</v>
      </c>
      <c r="B19" s="773"/>
      <c r="C19" s="771">
        <f>IF(C$6=0,0,+'4 Estado de Resultados'!AD21/C$6)*100</f>
        <v>0.10418567703869586</v>
      </c>
      <c r="D19" s="771">
        <f>IF(D$6=0,0,+'4 Estado de Resultados'!AE21/D$6)*100</f>
        <v>6.7458275651326297E-2</v>
      </c>
      <c r="E19" s="771">
        <f>IF(E$6=0,0,+'4 Estado de Resultados'!AF21/E$6)*100</f>
        <v>4.0654119136141476E-2</v>
      </c>
      <c r="F19" s="771">
        <f>IF(F$6=0,0,+'4 Estado de Resultados'!AG21/F$6)*100</f>
        <v>1.9399187241870251E-2</v>
      </c>
      <c r="G19" s="771">
        <f>IF(G$6=0,0,+'4 Estado de Resultados'!AH21/G$6)*100</f>
        <v>7.4386389020289403E-3</v>
      </c>
      <c r="H19" s="771">
        <f>IF(H$6=0,0,+'4 Estado de Resultados'!AI21/H$6)*100</f>
        <v>3.62506769104719E-4</v>
      </c>
      <c r="I19" s="771">
        <f>IF(I$6=0,0,+'4 Estado de Resultados'!AJ21/I$6)*100</f>
        <v>0</v>
      </c>
      <c r="J19" s="771">
        <f>IF(J$6=0,0,+'4 Estado de Resultados'!AK21/J$6)*100</f>
        <v>0</v>
      </c>
      <c r="K19" s="771">
        <f>IF(K$6=0,0,+'4 Estado de Resultados'!AL21/K$6)*100</f>
        <v>0</v>
      </c>
      <c r="L19" s="774">
        <f>IF(L$6=0,0,+'4 Estado de Resultados'!AM21/L$6)*100</f>
        <v>0</v>
      </c>
    </row>
    <row r="20" spans="1:12" x14ac:dyDescent="0.3">
      <c r="A20" s="775" t="s">
        <v>21</v>
      </c>
      <c r="B20" s="773"/>
      <c r="C20" s="771">
        <f>IF(C$6=0,0,+'4 Estado de Resultados'!AD22/C$6)*100</f>
        <v>28.688393618462872</v>
      </c>
      <c r="D20" s="771">
        <f>IF(D$6=0,0,+'4 Estado de Resultados'!AE22/D$6)*100</f>
        <v>35.170405107189872</v>
      </c>
      <c r="E20" s="771">
        <f>IF(E$6=0,0,+'4 Estado de Resultados'!AF22/E$6)*100</f>
        <v>35.957333873958277</v>
      </c>
      <c r="F20" s="771">
        <f>IF(F$6=0,0,+'4 Estado de Resultados'!AG22/F$6)*100</f>
        <v>36.584299131203608</v>
      </c>
      <c r="G20" s="771">
        <f>IF(G$6=0,0,+'4 Estado de Resultados'!AH22/G$6)*100</f>
        <v>37.168125223022258</v>
      </c>
      <c r="H20" s="771">
        <f>IF(H$6=0,0,+'4 Estado de Resultados'!AI22/H$6)*100</f>
        <v>38.504421827306537</v>
      </c>
      <c r="I20" s="771">
        <f>IF(I$6=0,0,+'4 Estado de Resultados'!AJ22/I$6)*100</f>
        <v>38.943373372245262</v>
      </c>
      <c r="J20" s="771">
        <f>IF(J$6=0,0,+'4 Estado de Resultados'!AK22/J$6)*100</f>
        <v>39.450321980447121</v>
      </c>
      <c r="K20" s="771">
        <f>IF(K$6=0,0,+'4 Estado de Resultados'!AL22/K$6)*100</f>
        <v>40.199260631616013</v>
      </c>
      <c r="L20" s="774">
        <f>IF(L$6=0,0,+'4 Estado de Resultados'!AM22/L$6)*100</f>
        <v>40.642714793833846</v>
      </c>
    </row>
    <row r="21" spans="1:12" x14ac:dyDescent="0.3">
      <c r="A21" s="776" t="s">
        <v>53</v>
      </c>
      <c r="B21" s="348"/>
      <c r="C21" s="771">
        <f>IF(C$6=0,0,+'4 Estado de Resultados'!AD24/C$6)*100</f>
        <v>8.606518085538859</v>
      </c>
      <c r="D21" s="771">
        <f>IF(D$6=0,0,+'4 Estado de Resultados'!AE24/D$6)*100</f>
        <v>10.551121532156959</v>
      </c>
      <c r="E21" s="771">
        <f>IF(E$6=0,0,+'4 Estado de Resultados'!AF24/E$6)*100</f>
        <v>10.787200162187482</v>
      </c>
      <c r="F21" s="771">
        <f>IF(F$6=0,0,+'4 Estado de Resultados'!AG24/F$6)*100</f>
        <v>10.975289739361081</v>
      </c>
      <c r="G21" s="771">
        <f>IF(G$6=0,0,+'4 Estado de Resultados'!AH24/G$6)*100</f>
        <v>11.150437566906676</v>
      </c>
      <c r="H21" s="771">
        <f>IF(H$6=0,0,+'4 Estado de Resultados'!AI24/H$6)*100</f>
        <v>11.551326548191961</v>
      </c>
      <c r="I21" s="771">
        <f>IF(I$6=0,0,+'4 Estado de Resultados'!AJ24/I$6)*100</f>
        <v>11.683012011673579</v>
      </c>
      <c r="J21" s="771">
        <f>IF(J$6=0,0,+'4 Estado de Resultados'!AK24/J$6)*100</f>
        <v>11.835096594134138</v>
      </c>
      <c r="K21" s="771">
        <f>IF(K$6=0,0,+'4 Estado de Resultados'!AL24/K$6)*100</f>
        <v>12.059778189484803</v>
      </c>
      <c r="L21" s="774">
        <f>IF(L$6=0,0,+'4 Estado de Resultados'!AM24/L$6)*100</f>
        <v>12.192814438150155</v>
      </c>
    </row>
    <row r="22" spans="1:12" x14ac:dyDescent="0.3">
      <c r="A22" s="775" t="s">
        <v>54</v>
      </c>
      <c r="B22" s="773"/>
      <c r="C22" s="771">
        <f>IF(C$6=0,0,+'4 Estado de Resultados'!AD25/C$6)*100</f>
        <v>2.8688393618462871</v>
      </c>
      <c r="D22" s="771">
        <f>IF(D$6=0,0,+'4 Estado de Resultados'!AE25/D$6)*100</f>
        <v>3.5170405107189868</v>
      </c>
      <c r="E22" s="771">
        <f>IF(E$6=0,0,+'4 Estado de Resultados'!AF25/E$6)*100</f>
        <v>3.5957333873958275</v>
      </c>
      <c r="F22" s="771">
        <f>IF(F$6=0,0,+'4 Estado de Resultados'!AG25/F$6)*100</f>
        <v>3.658429913120361</v>
      </c>
      <c r="G22" s="771">
        <f>IF(G$6=0,0,+'4 Estado de Resultados'!AH25/G$6)*100</f>
        <v>3.7168125223022264</v>
      </c>
      <c r="H22" s="771">
        <f>IF(H$6=0,0,+'4 Estado de Resultados'!AI25/H$6)*100</f>
        <v>3.8504421827306539</v>
      </c>
      <c r="I22" s="771">
        <f>IF(I$6=0,0,+'4 Estado de Resultados'!AJ25/I$6)*100</f>
        <v>3.8943373372245267</v>
      </c>
      <c r="J22" s="771">
        <f>IF(J$6=0,0,+'4 Estado de Resultados'!AK25/J$6)*100</f>
        <v>3.9450321980447125</v>
      </c>
      <c r="K22" s="771">
        <f>IF(K$6=0,0,+'4 Estado de Resultados'!AL25/K$6)*100</f>
        <v>4.0199260631616021</v>
      </c>
      <c r="L22" s="774">
        <f>IF(L$6=0,0,+'4 Estado de Resultados'!AM25/L$6)*100</f>
        <v>4.0642714793833852</v>
      </c>
    </row>
    <row r="23" spans="1:12" x14ac:dyDescent="0.3">
      <c r="A23" s="775" t="s">
        <v>55</v>
      </c>
      <c r="B23" s="773"/>
      <c r="C23" s="771">
        <f>IF(C$6=0,0,+'4 Estado de Resultados'!AD26/C$6)*100</f>
        <v>2.1053126432335763</v>
      </c>
      <c r="D23" s="771">
        <f>IF(D$6=0,0,+'4 Estado de Resultados'!AE26/D$6)*100</f>
        <v>2.5809984178466148</v>
      </c>
      <c r="E23" s="771">
        <f>IF(E$6=0,0,+'4 Estado de Resultados'!AF26/E$6)*100</f>
        <v>2.6387475934900881</v>
      </c>
      <c r="F23" s="771">
        <f>IF(F$6=0,0,+'4 Estado de Resultados'!AG26/F$6)*100</f>
        <v>2.6847577640315756</v>
      </c>
      <c r="G23" s="771">
        <f>IF(G$6=0,0,+'4 Estado de Resultados'!AH26/G$6)*100</f>
        <v>2.7276021445466432</v>
      </c>
      <c r="H23" s="771">
        <f>IF(H$6=0,0,+'4 Estado de Resultados'!AI26/H$6)*100</f>
        <v>2.8256669638434349</v>
      </c>
      <c r="I23" s="771">
        <f>IF(I$6=0,0,+'4 Estado de Resultados'!AJ26/I$6)*100</f>
        <v>0</v>
      </c>
      <c r="J23" s="771">
        <f>IF(J$6=0,0,+'4 Estado de Resultados'!AK26/J$6)*100</f>
        <v>0</v>
      </c>
      <c r="K23" s="771">
        <f>IF(K$6=0,0,+'4 Estado de Resultados'!AL26/K$6)*100</f>
        <v>0</v>
      </c>
      <c r="L23" s="774">
        <f>IF(L$6=0,0,+'4 Estado de Resultados'!AM26/L$6)*100</f>
        <v>0</v>
      </c>
    </row>
    <row r="24" spans="1:12" ht="15.75" thickBot="1" x14ac:dyDescent="0.35">
      <c r="A24" s="777" t="s">
        <v>22</v>
      </c>
      <c r="B24" s="778"/>
      <c r="C24" s="779">
        <f>IF(C$6=0,0,+'4 Estado de Resultados'!AD28/C$6)*100</f>
        <v>15.107723527844144</v>
      </c>
      <c r="D24" s="779">
        <f>IF(D$6=0,0,+'4 Estado de Resultados'!AE28/D$6)*100</f>
        <v>18.521244646467309</v>
      </c>
      <c r="E24" s="779">
        <f>IF(E$6=0,0,+'4 Estado de Resultados'!AF28/E$6)*100</f>
        <v>18.935652730884879</v>
      </c>
      <c r="F24" s="779">
        <f>IF(F$6=0,0,+'4 Estado de Resultados'!AG28/F$6)*100</f>
        <v>19.265821714690588</v>
      </c>
      <c r="G24" s="779">
        <f>IF(G$6=0,0,+'4 Estado de Resultados'!AH28/G$6)*100</f>
        <v>19.573272989266709</v>
      </c>
      <c r="H24" s="779">
        <f>IF(H$6=0,0,+'4 Estado de Resultados'!AI28/H$6)*100</f>
        <v>20.276986132540483</v>
      </c>
      <c r="I24" s="779">
        <f>IF(I$6=0,0,+'4 Estado de Resultados'!AJ28/I$6)*100</f>
        <v>23.366024023347158</v>
      </c>
      <c r="J24" s="779">
        <f>IF(J$6=0,0,+'4 Estado de Resultados'!AK28/J$6)*100</f>
        <v>23.670193188268275</v>
      </c>
      <c r="K24" s="779">
        <f>IF(K$6=0,0,+'4 Estado de Resultados'!AL28/K$6)*100</f>
        <v>24.119556378969609</v>
      </c>
      <c r="L24" s="780">
        <f>IF(L$6=0,0,+'4 Estado de Resultados'!AM28/L$6)*100</f>
        <v>24.385628876300309</v>
      </c>
    </row>
    <row r="25" spans="1:12" ht="15.75" thickBot="1" x14ac:dyDescent="0.35">
      <c r="A25" s="152"/>
      <c r="B25" s="152"/>
      <c r="C25" s="781"/>
      <c r="D25" s="781"/>
      <c r="E25" s="781"/>
      <c r="F25" s="781"/>
      <c r="G25" s="781"/>
      <c r="H25" s="781"/>
      <c r="I25" s="781"/>
      <c r="J25" s="781"/>
      <c r="K25" s="781"/>
      <c r="L25" s="781"/>
    </row>
    <row r="26" spans="1:12" x14ac:dyDescent="0.3">
      <c r="A26" s="1494" t="s">
        <v>215</v>
      </c>
      <c r="B26" s="1495"/>
      <c r="C26" s="1495"/>
      <c r="D26" s="1495"/>
      <c r="E26" s="1495"/>
      <c r="F26" s="1495"/>
      <c r="G26" s="1495"/>
      <c r="H26" s="1495"/>
      <c r="I26" s="1495"/>
      <c r="J26" s="1495"/>
      <c r="K26" s="1495"/>
      <c r="L26" s="1496"/>
    </row>
    <row r="27" spans="1:12" x14ac:dyDescent="0.3">
      <c r="A27" s="557" t="s">
        <v>397</v>
      </c>
      <c r="B27" s="782"/>
      <c r="C27" s="771">
        <f>IF(C$6=0,0,+'5 Estado de Fuentes y Usos'!AC23/C$6)*100</f>
        <v>0</v>
      </c>
      <c r="D27" s="783"/>
      <c r="E27" s="783"/>
      <c r="F27" s="783"/>
      <c r="G27" s="783"/>
      <c r="H27" s="783"/>
      <c r="I27" s="783"/>
      <c r="J27" s="783"/>
      <c r="K27" s="783"/>
      <c r="L27" s="784"/>
    </row>
    <row r="28" spans="1:12" x14ac:dyDescent="0.3">
      <c r="A28" s="557" t="s">
        <v>7</v>
      </c>
      <c r="B28" s="559"/>
      <c r="C28" s="771">
        <f>IF(C$6=0,0,+'5 Estado de Fuentes y Usos'!AC24/C$6)*100</f>
        <v>0</v>
      </c>
      <c r="D28" s="771">
        <f>IF(D$6=0,0,+'5 Estado de Fuentes y Usos'!AD24/D$6)*100</f>
        <v>0</v>
      </c>
      <c r="E28" s="771">
        <f>IF(E$6=0,0,+'5 Estado de Fuentes y Usos'!AE24/E$6)*100</f>
        <v>0</v>
      </c>
      <c r="F28" s="771">
        <f>IF(F$6=0,0,+'5 Estado de Fuentes y Usos'!AF24/F$6)*100</f>
        <v>0</v>
      </c>
      <c r="G28" s="771">
        <f>IF(G$6=0,0,+'5 Estado de Fuentes y Usos'!AG24/G$6)*100</f>
        <v>0</v>
      </c>
      <c r="H28" s="771">
        <f>IF(H$6=0,0,+'5 Estado de Fuentes y Usos'!AH24/H$6)*100</f>
        <v>0</v>
      </c>
      <c r="I28" s="771">
        <f>IF(I$6=0,0,+'5 Estado de Fuentes y Usos'!AI24/I$6)*100</f>
        <v>0</v>
      </c>
      <c r="J28" s="771">
        <f>IF(J$6=0,0,+'5 Estado de Fuentes y Usos'!AJ24/J$6)*100</f>
        <v>0</v>
      </c>
      <c r="K28" s="771">
        <f>IF(K$6=0,0,+'5 Estado de Fuentes y Usos'!AK24/K$6)*100</f>
        <v>0</v>
      </c>
      <c r="L28" s="774">
        <f>IF(L$6=0,0,+'5 Estado de Fuentes y Usos'!AL24/L$6)*100</f>
        <v>0</v>
      </c>
    </row>
    <row r="29" spans="1:12" x14ac:dyDescent="0.3">
      <c r="A29" s="303" t="s">
        <v>8</v>
      </c>
      <c r="B29" s="310"/>
      <c r="C29" s="771">
        <f>IF(C$6=0,0,+'5 Estado de Fuentes y Usos'!AC25/C$6)*100</f>
        <v>0</v>
      </c>
      <c r="D29" s="771">
        <f>IF(D$6=0,0,+'5 Estado de Fuentes y Usos'!AD25/D$6)*100</f>
        <v>16.414531259258823</v>
      </c>
      <c r="E29" s="771">
        <f>IF(E$6=0,0,+'5 Estado de Fuentes y Usos'!AE25/E$6)*100</f>
        <v>0</v>
      </c>
      <c r="F29" s="771">
        <f>IF(F$6=0,0,+'5 Estado de Fuentes y Usos'!AF25/F$6)*100</f>
        <v>0</v>
      </c>
      <c r="G29" s="771">
        <f>IF(G$6=0,0,+'5 Estado de Fuentes y Usos'!AG25/G$6)*100</f>
        <v>0</v>
      </c>
      <c r="H29" s="771">
        <f>IF(H$6=0,0,+'5 Estado de Fuentes y Usos'!AH25/H$6)*100</f>
        <v>0</v>
      </c>
      <c r="I29" s="771">
        <f>IF(I$6=0,0,+'5 Estado de Fuentes y Usos'!AI25/I$6)*100</f>
        <v>0</v>
      </c>
      <c r="J29" s="771">
        <f>IF(J$6=0,0,+'5 Estado de Fuentes y Usos'!AJ25/J$6)*100</f>
        <v>0</v>
      </c>
      <c r="K29" s="771">
        <f>IF(K$6=0,0,+'5 Estado de Fuentes y Usos'!AK25/K$6)*100</f>
        <v>0</v>
      </c>
      <c r="L29" s="774">
        <f>IF(L$6=0,0,+'5 Estado de Fuentes y Usos'!AL25/L$6)*100</f>
        <v>0</v>
      </c>
    </row>
    <row r="30" spans="1:12" x14ac:dyDescent="0.3">
      <c r="A30" s="303" t="s">
        <v>9</v>
      </c>
      <c r="B30" s="310"/>
      <c r="C30" s="771">
        <f>IF(C$6=0,0,+'5 Estado de Fuentes y Usos'!AC26/C$6)*100</f>
        <v>1.3915560379616487</v>
      </c>
      <c r="D30" s="771">
        <f>IF(D$6=0,0,+'5 Estado de Fuentes y Usos'!AD26/D$6)*100</f>
        <v>0</v>
      </c>
      <c r="E30" s="771">
        <f>IF(E$6=0,0,+'5 Estado de Fuentes y Usos'!AE26/E$6)*100</f>
        <v>0.21317573063972495</v>
      </c>
      <c r="F30" s="771">
        <f>IF(F$6=0,0,+'5 Estado de Fuentes y Usos'!AF26/F$6)*100</f>
        <v>0</v>
      </c>
      <c r="G30" s="771">
        <f>IF(G$6=0,0,+'5 Estado de Fuentes y Usos'!AG26/G$6)*100</f>
        <v>0</v>
      </c>
      <c r="H30" s="771">
        <f>IF(H$6=0,0,+'5 Estado de Fuentes y Usos'!AH26/H$6)*100</f>
        <v>0.1631280460971265</v>
      </c>
      <c r="I30" s="771">
        <f>IF(I$6=0,0,+'5 Estado de Fuentes y Usos'!AI26/I$6)*100</f>
        <v>0</v>
      </c>
      <c r="J30" s="771">
        <f>IF(J$6=0,0,+'5 Estado de Fuentes y Usos'!AJ26/J$6)*100</f>
        <v>4.1956801979713597E-2</v>
      </c>
      <c r="K30" s="771">
        <f>IF(K$6=0,0,+'5 Estado de Fuentes y Usos'!AK26/K$6)*100</f>
        <v>0</v>
      </c>
      <c r="L30" s="774">
        <f>IF(L$6=0,0,+'5 Estado de Fuentes y Usos'!AL26/L$6)*100</f>
        <v>0.11990398370974394</v>
      </c>
    </row>
    <row r="31" spans="1:12" x14ac:dyDescent="0.3">
      <c r="A31" s="303" t="s">
        <v>10</v>
      </c>
      <c r="B31" s="310"/>
      <c r="C31" s="771">
        <f>IF(C$6=0,0,+'5 Estado de Fuentes y Usos'!AC27/C$6)*100</f>
        <v>3.2891324533638975</v>
      </c>
      <c r="D31" s="771">
        <f>IF(D$6=0,0,+'5 Estado de Fuentes y Usos'!AD27/D$6)*100</f>
        <v>0.14069598222221846</v>
      </c>
      <c r="E31" s="771">
        <f>IF(E$6=0,0,+'5 Estado de Fuentes y Usos'!AE27/E$6)*100</f>
        <v>5.9689204579122974E-2</v>
      </c>
      <c r="F31" s="771">
        <f>IF(F$6=0,0,+'5 Estado de Fuentes y Usos'!AF27/F$6)*100</f>
        <v>1.4340912788490585</v>
      </c>
      <c r="G31" s="771">
        <f>IF(G$6=0,0,+'5 Estado de Fuentes y Usos'!AG27/G$6)*100</f>
        <v>0.68709533016109681</v>
      </c>
      <c r="H31" s="771">
        <f>IF(H$6=0,0,+'5 Estado de Fuentes y Usos'!AH27/H$6)*100</f>
        <v>0.14355268056547132</v>
      </c>
      <c r="I31" s="771">
        <f>IF(I$6=0,0,+'5 Estado de Fuentes y Usos'!AI27/I$6)*100</f>
        <v>1.0271025124633892</v>
      </c>
      <c r="J31" s="771">
        <f>IF(J$6=0,0,+'5 Estado de Fuentes y Usos'!AJ27/J$6)*100</f>
        <v>8.3913603959427194E-2</v>
      </c>
      <c r="K31" s="771">
        <f>IF(K$6=0,0,+'5 Estado de Fuentes y Usos'!AK27/K$6)*100</f>
        <v>3.6258964673826562E-2</v>
      </c>
      <c r="L31" s="774">
        <f>IF(L$6=0,0,+'5 Estado de Fuentes y Usos'!AL27/L$6)*100</f>
        <v>1.28297262569426</v>
      </c>
    </row>
    <row r="32" spans="1:12" x14ac:dyDescent="0.3">
      <c r="A32" s="303" t="s">
        <v>11</v>
      </c>
      <c r="B32" s="310"/>
      <c r="C32" s="771">
        <f>IF(C$6=0,0,+'5 Estado de Fuentes y Usos'!AC28/C$6)*100</f>
        <v>1.4758927675350819</v>
      </c>
      <c r="D32" s="771">
        <f>IF(D$6=0,0,+'5 Estado de Fuentes y Usos'!AD28/D$6)*100</f>
        <v>0.84417589333331078</v>
      </c>
      <c r="E32" s="771">
        <f>IF(E$6=0,0,+'5 Estado de Fuentes y Usos'!AE28/E$6)*100</f>
        <v>0.59689204579122979</v>
      </c>
      <c r="F32" s="771">
        <f>IF(F$6=0,0,+'5 Estado de Fuentes y Usos'!AF28/F$6)*100</f>
        <v>0</v>
      </c>
      <c r="G32" s="771">
        <f>IF(G$6=0,0,+'5 Estado de Fuentes y Usos'!AG28/G$6)*100</f>
        <v>0.77518447505354515</v>
      </c>
      <c r="H32" s="771">
        <f>IF(H$6=0,0,+'5 Estado de Fuentes y Usos'!AH28/H$6)*100</f>
        <v>0</v>
      </c>
      <c r="I32" s="771">
        <f>IF(I$6=0,0,+'5 Estado de Fuentes y Usos'!AI28/I$6)*100</f>
        <v>0.42292456395551314</v>
      </c>
      <c r="J32" s="771">
        <f>IF(J$6=0,0,+'5 Estado de Fuentes y Usos'!AJ28/J$6)*100</f>
        <v>0.83913603959427197</v>
      </c>
      <c r="K32" s="771">
        <f>IF(K$6=0,0,+'5 Estado de Fuentes y Usos'!AK28/K$6)*100</f>
        <v>0</v>
      </c>
      <c r="L32" s="774">
        <f>IF(L$6=0,0,+'5 Estado de Fuentes y Usos'!AL28/L$6)*100</f>
        <v>0</v>
      </c>
    </row>
    <row r="33" spans="1:12" x14ac:dyDescent="0.3">
      <c r="A33" s="303" t="s">
        <v>3</v>
      </c>
      <c r="B33" s="310"/>
      <c r="C33" s="771">
        <f>IF(C$6=0,0,+'5 Estado de Fuentes y Usos'!AC29/C$6)*100</f>
        <v>0</v>
      </c>
      <c r="D33" s="771">
        <f>IF(D$6=0,0,+'5 Estado de Fuentes y Usos'!AD29/D$6)*100</f>
        <v>0</v>
      </c>
      <c r="E33" s="771">
        <f>IF(E$6=0,0,+'5 Estado de Fuentes y Usos'!AE29/E$6)*100</f>
        <v>0</v>
      </c>
      <c r="F33" s="771">
        <f>IF(F$6=0,0,+'5 Estado de Fuentes y Usos'!AF29/F$6)*100</f>
        <v>0</v>
      </c>
      <c r="G33" s="771">
        <f>IF(G$6=0,0,+'5 Estado de Fuentes y Usos'!AG29/G$6)*100</f>
        <v>0</v>
      </c>
      <c r="H33" s="771">
        <f>IF(H$6=0,0,+'5 Estado de Fuentes y Usos'!AH29/H$6)*100</f>
        <v>0</v>
      </c>
      <c r="I33" s="771">
        <f>IF(I$6=0,0,+'5 Estado de Fuentes y Usos'!AI29/I$6)*100</f>
        <v>0</v>
      </c>
      <c r="J33" s="771">
        <f>IF(J$6=0,0,+'5 Estado de Fuentes y Usos'!AJ29/J$6)*100</f>
        <v>0</v>
      </c>
      <c r="K33" s="771">
        <f>IF(K$6=0,0,+'5 Estado de Fuentes y Usos'!AK29/K$6)*100</f>
        <v>0</v>
      </c>
      <c r="L33" s="774">
        <f>IF(L$6=0,0,+'5 Estado de Fuentes y Usos'!AL29/L$6)*100</f>
        <v>0</v>
      </c>
    </row>
    <row r="34" spans="1:12" x14ac:dyDescent="0.3">
      <c r="A34" s="303" t="s">
        <v>12</v>
      </c>
      <c r="B34" s="310"/>
      <c r="C34" s="771">
        <f>IF(C$6=0,0,+'5 Estado de Fuentes y Usos'!AC30/C$6)*100</f>
        <v>0.42168364786716628</v>
      </c>
      <c r="D34" s="771">
        <f>IF(D$6=0,0,+'5 Estado de Fuentes y Usos'!AD30/D$6)*100</f>
        <v>0</v>
      </c>
      <c r="E34" s="771">
        <f>IF(E$6=0,0,+'5 Estado de Fuentes y Usos'!AE30/E$6)*100</f>
        <v>0</v>
      </c>
      <c r="F34" s="771">
        <f>IF(F$6=0,0,+'5 Estado de Fuentes y Usos'!AF30/F$6)*100</f>
        <v>0</v>
      </c>
      <c r="G34" s="771">
        <f>IF(G$6=0,0,+'5 Estado de Fuentes y Usos'!AG30/G$6)*100</f>
        <v>0</v>
      </c>
      <c r="H34" s="771">
        <f>IF(H$6=0,0,+'5 Estado de Fuentes y Usos'!AH30/H$6)*100</f>
        <v>0</v>
      </c>
      <c r="I34" s="771">
        <f>IF(I$6=0,0,+'5 Estado de Fuentes y Usos'!AI30/I$6)*100</f>
        <v>0</v>
      </c>
      <c r="J34" s="771">
        <f>IF(J$6=0,0,+'5 Estado de Fuentes y Usos'!AJ30/J$6)*100</f>
        <v>0</v>
      </c>
      <c r="K34" s="771">
        <f>IF(K$6=0,0,+'5 Estado de Fuentes y Usos'!AK30/K$6)*100</f>
        <v>0</v>
      </c>
      <c r="L34" s="774">
        <f>IF(L$6=0,0,+'5 Estado de Fuentes y Usos'!AL30/L$6)*100</f>
        <v>0</v>
      </c>
    </row>
    <row r="35" spans="1:12" ht="15.75" thickBot="1" x14ac:dyDescent="0.35">
      <c r="A35" s="307" t="s">
        <v>4</v>
      </c>
      <c r="B35" s="312"/>
      <c r="C35" s="779">
        <f>IF(C$6=0,0,+'5 Estado de Fuentes y Usos'!AC31/C$6)*100</f>
        <v>0.21084182393358314</v>
      </c>
      <c r="D35" s="779">
        <f>IF(D$6=0,0,+'5 Estado de Fuentes y Usos'!AD31/D$6)*100</f>
        <v>0</v>
      </c>
      <c r="E35" s="779">
        <f>IF(E$6=0,0,+'5 Estado de Fuentes y Usos'!AE31/E$6)*100</f>
        <v>0</v>
      </c>
      <c r="F35" s="779">
        <f>IF(F$6=0,0,+'5 Estado de Fuentes y Usos'!AF31/F$6)*100</f>
        <v>0</v>
      </c>
      <c r="G35" s="779">
        <f>IF(G$6=0,0,+'5 Estado de Fuentes y Usos'!AG31/G$6)*100</f>
        <v>0</v>
      </c>
      <c r="H35" s="779">
        <f>IF(H$6=0,0,+'5 Estado de Fuentes y Usos'!AH31/H$6)*100</f>
        <v>0</v>
      </c>
      <c r="I35" s="779">
        <f>IF(I$6=0,0,+'5 Estado de Fuentes y Usos'!AI31/I$6)*100</f>
        <v>0</v>
      </c>
      <c r="J35" s="779">
        <f>IF(J$6=0,0,+'5 Estado de Fuentes y Usos'!AJ31/J$6)*100</f>
        <v>0</v>
      </c>
      <c r="K35" s="779">
        <f>IF(K$6=0,0,+'5 Estado de Fuentes y Usos'!AK31/K$6)*100</f>
        <v>0</v>
      </c>
      <c r="L35" s="780">
        <f>IF(L$6=0,0,+'5 Estado de Fuentes y Usos'!AL31/L$6)*100</f>
        <v>0</v>
      </c>
    </row>
    <row r="36" spans="1:12" ht="15.75" thickBot="1" x14ac:dyDescent="0.35">
      <c r="A36" s="565"/>
      <c r="B36" s="565"/>
      <c r="C36" s="785">
        <f>IF(C$6=0,0,+'5 Estado de Fuentes y Usos'!AC32/C$6)*100</f>
        <v>0</v>
      </c>
      <c r="D36" s="785">
        <f>IF(D$6=0,0,+'5 Estado de Fuentes y Usos'!AD32/D$6)*100</f>
        <v>0</v>
      </c>
      <c r="E36" s="785">
        <f>IF(E$6=0,0,+'5 Estado de Fuentes y Usos'!AE32/E$6)*100</f>
        <v>0</v>
      </c>
      <c r="F36" s="785">
        <f>IF(F$6=0,0,+'5 Estado de Fuentes y Usos'!AF32/F$6)*100</f>
        <v>0</v>
      </c>
      <c r="G36" s="785">
        <f>IF(G$6=0,0,+'5 Estado de Fuentes y Usos'!AG32/G$6)*100</f>
        <v>0</v>
      </c>
      <c r="H36" s="785">
        <f>IF(H$6=0,0,+'5 Estado de Fuentes y Usos'!AH32/H$6)*100</f>
        <v>0</v>
      </c>
      <c r="I36" s="785">
        <f>IF(I$6=0,0,+'5 Estado de Fuentes y Usos'!AI32/I$6)*100</f>
        <v>0</v>
      </c>
      <c r="J36" s="785">
        <f>IF(J$6=0,0,+'5 Estado de Fuentes y Usos'!AJ32/J$6)*100</f>
        <v>0</v>
      </c>
      <c r="K36" s="785">
        <f>IF(K$6=0,0,+'5 Estado de Fuentes y Usos'!AK32/K$6)*100</f>
        <v>0</v>
      </c>
      <c r="L36" s="785">
        <f>IF(L$6=0,0,+'5 Estado de Fuentes y Usos'!AL32/L$6)*100</f>
        <v>0</v>
      </c>
    </row>
    <row r="37" spans="1:12" x14ac:dyDescent="0.3">
      <c r="A37" s="1506" t="s">
        <v>216</v>
      </c>
      <c r="B37" s="1507"/>
      <c r="C37" s="1507"/>
      <c r="D37" s="1507"/>
      <c r="E37" s="1507"/>
      <c r="F37" s="1507"/>
      <c r="G37" s="1507"/>
      <c r="H37" s="1507"/>
      <c r="I37" s="1507"/>
      <c r="J37" s="1507"/>
      <c r="K37" s="1507"/>
      <c r="L37" s="1508"/>
    </row>
    <row r="38" spans="1:12" x14ac:dyDescent="0.3">
      <c r="A38" s="1502" t="s">
        <v>217</v>
      </c>
      <c r="B38" s="1503"/>
      <c r="C38" s="771">
        <f>IF(C$6=0,0,+'5 Estado de Fuentes y Usos'!AC46/C$6)*100</f>
        <v>9.7966908090351773E-2</v>
      </c>
      <c r="D38" s="771">
        <f>IF(D$6=0,0,+'5 Estado de Fuentes y Usos'!AD46/D$6)*100</f>
        <v>0.18948953834642221</v>
      </c>
      <c r="E38" s="771">
        <f>IF(E$6=0,0,+'5 Estado de Fuentes y Usos'!AE46/E$6)*100</f>
        <v>0.17226321667856562</v>
      </c>
      <c r="F38" s="771">
        <f>IF(F$6=0,0,+'5 Estado de Fuentes y Usos'!AF46/F$6)*100</f>
        <v>0.11549465663676557</v>
      </c>
      <c r="G38" s="771">
        <f>IF(G$6=0,0,+'5 Estado de Fuentes y Usos'!AG46/G$6)*100</f>
        <v>7.8301462126620702E-2</v>
      </c>
      <c r="H38" s="771">
        <f>IF(H$6=0,0,+'5 Estado de Fuentes y Usos'!AH46/H$6)*100</f>
        <v>1.8125338455236277E-2</v>
      </c>
      <c r="I38" s="771">
        <f>IF(I$6=0,0,+'5 Estado de Fuentes y Usos'!AI46/I$6)*100</f>
        <v>0</v>
      </c>
      <c r="J38" s="771">
        <f>IF(J$6=0,0,+'5 Estado de Fuentes y Usos'!AJ46/J$6)*100</f>
        <v>0</v>
      </c>
      <c r="K38" s="771">
        <f>IF(K$6=0,0,+'5 Estado de Fuentes y Usos'!AK46/K$6)*100</f>
        <v>0</v>
      </c>
      <c r="L38" s="774">
        <f>IF(L$6=0,0,+'5 Estado de Fuentes y Usos'!AL46/L$6)*100</f>
        <v>0</v>
      </c>
    </row>
    <row r="39" spans="1:12" x14ac:dyDescent="0.3">
      <c r="A39" s="1502" t="s">
        <v>53</v>
      </c>
      <c r="B39" s="1503"/>
      <c r="C39" s="771">
        <f>IF(C$6=0,0,+'5 Estado de Fuentes y Usos'!AC47/C$6)*100</f>
        <v>8.606518085538859</v>
      </c>
      <c r="D39" s="771">
        <f>IF(D$6=0,0,+'5 Estado de Fuentes y Usos'!AD47/D$6)*100</f>
        <v>10.551121532156959</v>
      </c>
      <c r="E39" s="771">
        <f>IF(E$6=0,0,+'5 Estado de Fuentes y Usos'!AE47/E$6)*100</f>
        <v>10.787200162187482</v>
      </c>
      <c r="F39" s="771">
        <f>IF(F$6=0,0,+'5 Estado de Fuentes y Usos'!AF47/F$6)*100</f>
        <v>10.975289739361081</v>
      </c>
      <c r="G39" s="771">
        <f>IF(G$6=0,0,+'5 Estado de Fuentes y Usos'!AG47/G$6)*100</f>
        <v>11.150437566906676</v>
      </c>
      <c r="H39" s="771">
        <f>IF(H$6=0,0,+'5 Estado de Fuentes y Usos'!AH47/H$6)*100</f>
        <v>11.551326548191961</v>
      </c>
      <c r="I39" s="771">
        <f>IF(I$6=0,0,+'5 Estado de Fuentes y Usos'!AI47/I$6)*100</f>
        <v>11.683012011673579</v>
      </c>
      <c r="J39" s="771">
        <f>IF(J$6=0,0,+'5 Estado de Fuentes y Usos'!AJ47/J$6)*100</f>
        <v>11.835096594134138</v>
      </c>
      <c r="K39" s="771">
        <f>IF(K$6=0,0,+'5 Estado de Fuentes y Usos'!AK47/K$6)*100</f>
        <v>12.059778189484803</v>
      </c>
      <c r="L39" s="774">
        <f>IF(L$6=0,0,+'5 Estado de Fuentes y Usos'!AL47/L$6)*100</f>
        <v>12.192814438150155</v>
      </c>
    </row>
    <row r="40" spans="1:12" x14ac:dyDescent="0.3">
      <c r="A40" s="1502" t="s">
        <v>54</v>
      </c>
      <c r="B40" s="1503"/>
      <c r="C40" s="771">
        <f>IF(C$6=0,0,+'5 Estado de Fuentes y Usos'!AC48/C$6)*100</f>
        <v>0</v>
      </c>
      <c r="D40" s="771">
        <f>IF(D$6=0,0,+'5 Estado de Fuentes y Usos'!AD48/D$6)*100</f>
        <v>1.5953277371724319</v>
      </c>
      <c r="E40" s="771">
        <f>IF(E$6=0,0,+'5 Estado de Fuentes y Usos'!AE48/E$6)*100</f>
        <v>3.1973095551990784</v>
      </c>
      <c r="F40" s="771">
        <f>IF(F$6=0,0,+'5 Estado de Fuentes y Usos'!AF48/F$6)*100</f>
        <v>3.268848533996207</v>
      </c>
      <c r="G40" s="771">
        <f>IF(G$6=0,0,+'5 Estado de Fuentes y Usos'!AG48/G$6)*100</f>
        <v>3.3258453755639641</v>
      </c>
      <c r="H40" s="771">
        <f>IF(H$6=0,0,+'5 Estado de Fuentes y Usos'!AH48/H$6)*100</f>
        <v>3.4414930762057647</v>
      </c>
      <c r="I40" s="771">
        <f>IF(I$6=0,0,+'5 Estado de Fuentes y Usos'!AI48/I$6)*100</f>
        <v>3.5652242432691246</v>
      </c>
      <c r="J40" s="771">
        <f>IF(J$6=0,0,+'5 Estado de Fuentes y Usos'!AJ48/J$6)*100</f>
        <v>3.605867904837524</v>
      </c>
      <c r="K40" s="771">
        <f>IF(K$6=0,0,+'5 Estado de Fuentes y Usos'!AK48/K$6)*100</f>
        <v>3.6528075907821407</v>
      </c>
      <c r="L40" s="774">
        <f>IF(L$6=0,0,+'5 Estado de Fuentes y Usos'!AL48/L$6)*100</f>
        <v>3.722153762186668</v>
      </c>
    </row>
    <row r="41" spans="1:12" x14ac:dyDescent="0.3">
      <c r="A41" s="1502" t="s">
        <v>184</v>
      </c>
      <c r="B41" s="1503"/>
      <c r="C41" s="771">
        <f>IF(C$6=0,0,+'5 Estado de Fuentes y Usos'!AC49/C$6)*100</f>
        <v>0</v>
      </c>
      <c r="D41" s="771">
        <f>IF(D$6=0,0,+'5 Estado de Fuentes y Usos'!AD49/D$6)*100</f>
        <v>1.1707395331500232</v>
      </c>
      <c r="E41" s="771">
        <f>IF(E$6=0,0,+'5 Estado de Fuentes y Usos'!AE49/E$6)*100</f>
        <v>2.3463621980423763</v>
      </c>
      <c r="F41" s="771">
        <f>IF(F$6=0,0,+'5 Estado de Fuentes y Usos'!AF49/F$6)*100</f>
        <v>2.3988614486273532</v>
      </c>
      <c r="G41" s="771">
        <f>IF(G$6=0,0,+'5 Estado de Fuentes y Usos'!AG49/G$6)*100</f>
        <v>2.4406888763923416</v>
      </c>
      <c r="H41" s="771">
        <f>IF(H$6=0,0,+'5 Estado de Fuentes y Usos'!AH49/H$6)*100</f>
        <v>2.5255575412468914</v>
      </c>
      <c r="I41" s="771">
        <f>IF(I$6=0,0,+'5 Estado de Fuentes y Usos'!AI49/I$6)*100</f>
        <v>2.6163582998550323</v>
      </c>
      <c r="J41" s="771">
        <f>IF(J$6=0,0,+'5 Estado de Fuentes y Usos'!AJ49/J$6)*100</f>
        <v>0</v>
      </c>
      <c r="K41" s="771">
        <f>IF(K$6=0,0,+'5 Estado de Fuentes y Usos'!AK49/K$6)*100</f>
        <v>0</v>
      </c>
      <c r="L41" s="774">
        <f>IF(L$6=0,0,+'5 Estado de Fuentes y Usos'!AL49/L$6)*100</f>
        <v>0</v>
      </c>
    </row>
    <row r="42" spans="1:12" ht="15.75" thickBot="1" x14ac:dyDescent="0.35">
      <c r="A42" s="1504" t="s">
        <v>16</v>
      </c>
      <c r="B42" s="1505"/>
      <c r="C42" s="779">
        <f>IF(C$6=0,0,+'5 Estado de Fuentes y Usos'!AC52/C$6)*100</f>
        <v>86.805198105827728</v>
      </c>
      <c r="D42" s="779">
        <f>IF(D$6=0,0,+'5 Estado de Fuentes y Usos'!AD52/D$6)*100</f>
        <v>95.735676368450314</v>
      </c>
      <c r="E42" s="779">
        <f>IF(E$6=0,0,+'5 Estado de Fuentes y Usos'!AE52/E$6)*100</f>
        <v>81.41555823915931</v>
      </c>
      <c r="F42" s="779">
        <f>IF(F$6=0,0,+'5 Estado de Fuentes y Usos'!AF52/F$6)*100</f>
        <v>81.608286526266866</v>
      </c>
      <c r="G42" s="779">
        <f>IF(G$6=0,0,+'5 Estado de Fuentes y Usos'!AG52/G$6)*100</f>
        <v>81.289427863181999</v>
      </c>
      <c r="H42" s="779">
        <f>IF(H$6=0,0,+'5 Estado de Fuentes y Usos'!AH52/H$6)*100</f>
        <v>79.82814554174729</v>
      </c>
      <c r="I42" s="779">
        <f>IF(I$6=0,0,+'5 Estado de Fuentes y Usos'!AI52/I$6)*100</f>
        <v>80.371248258971377</v>
      </c>
      <c r="J42" s="779">
        <f>IF(J$6=0,0,+'5 Estado de Fuentes y Usos'!AJ52/J$6)*100</f>
        <v>76.955648964057957</v>
      </c>
      <c r="K42" s="779">
        <f>IF(K$6=0,0,+'5 Estado de Fuentes y Usos'!AK52/K$6)*100</f>
        <v>75.549584113324755</v>
      </c>
      <c r="L42" s="780">
        <f>IF(L$6=0,0,+'5 Estado de Fuentes y Usos'!AL52/L$6)*100</f>
        <v>76.675130015906973</v>
      </c>
    </row>
  </sheetData>
  <mergeCells count="16">
    <mergeCell ref="A38:B38"/>
    <mergeCell ref="A42:B42"/>
    <mergeCell ref="A26:L26"/>
    <mergeCell ref="A37:L37"/>
    <mergeCell ref="A39:B39"/>
    <mergeCell ref="A40:B40"/>
    <mergeCell ref="A41:B41"/>
    <mergeCell ref="A7:B7"/>
    <mergeCell ref="J1:L1"/>
    <mergeCell ref="C2:L2"/>
    <mergeCell ref="A5:L5"/>
    <mergeCell ref="A1:B1"/>
    <mergeCell ref="A3:B3"/>
    <mergeCell ref="G1:I1"/>
    <mergeCell ref="A2:B2"/>
    <mergeCell ref="C1:F1"/>
  </mergeCells>
  <phoneticPr fontId="20" type="noConversion"/>
  <pageMargins left="0.78740157480314965" right="0.39370078740157483" top="0.59055118110236227" bottom="0.59055118110236227" header="0" footer="0.39370078740157483"/>
  <pageSetup scale="58" orientation="landscape" blackAndWhite="1" horizontalDpi="4294967293" verticalDpi="300" r:id="rId1"/>
  <headerFooter alignWithMargins="0">
    <oddHeader>&amp;C&amp;"Arial,Negrita"&amp;7Estudio de Factibilidad para el establecimiento de un mercado de mariscos en Hermosillo, Sonora</oddHeader>
    <oddFooter>&amp;L&amp;"Arial,Normal"&amp;7&amp;F - Hoja: &amp;A&amp;C&amp;"Arial,Normal"&amp;7&amp;D&amp;R&amp;"Arial,Normal"&amp;7&amp;P de 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2111">
    <tabColor rgb="FFFF0000"/>
  </sheetPr>
  <dimension ref="A4:BQ88"/>
  <sheetViews>
    <sheetView view="pageBreakPreview" topLeftCell="A5" zoomScale="60" zoomScaleNormal="70" workbookViewId="0">
      <pane xSplit="2" ySplit="8" topLeftCell="C13" activePane="bottomRight" state="frozen"/>
      <selection activeCell="K44" sqref="K44"/>
      <selection pane="topRight" activeCell="K44" sqref="K44"/>
      <selection pane="bottomLeft" activeCell="K44" sqref="K44"/>
      <selection pane="bottomRight" activeCell="I37" sqref="I37"/>
    </sheetView>
  </sheetViews>
  <sheetFormatPr baseColWidth="10" defaultColWidth="9" defaultRowHeight="12.75" x14ac:dyDescent="0.2"/>
  <cols>
    <col min="1" max="1" width="3.5" style="573" customWidth="1"/>
    <col min="2" max="2" width="27.625" style="573" customWidth="1"/>
    <col min="3" max="3" width="13.125" style="573" customWidth="1"/>
    <col min="4" max="18" width="14" style="573" customWidth="1"/>
    <col min="19" max="19" width="12.75" style="573" customWidth="1"/>
    <col min="20" max="20" width="14.25" style="573" customWidth="1"/>
    <col min="21" max="22" width="12.75" style="573" customWidth="1"/>
    <col min="23" max="23" width="14" style="573" customWidth="1"/>
    <col min="24" max="28" width="12.75" style="573" customWidth="1"/>
    <col min="29" max="29" width="14" style="573" customWidth="1"/>
    <col min="30" max="39" width="15.625" style="573" customWidth="1"/>
    <col min="40" max="16384" width="9" style="573"/>
  </cols>
  <sheetData>
    <row r="4" spans="1:39" ht="13.5" thickBot="1" x14ac:dyDescent="0.25"/>
    <row r="5" spans="1:39" s="570" customFormat="1" ht="22.15" customHeight="1" thickBot="1" x14ac:dyDescent="0.35">
      <c r="A5" s="1558" t="s">
        <v>160</v>
      </c>
      <c r="B5" s="1559"/>
      <c r="C5" s="1559"/>
      <c r="D5" s="1543" t="str">
        <f>+'19 Resumen'!D4</f>
        <v>La Lasaña de Garfield</v>
      </c>
      <c r="E5" s="1544"/>
      <c r="F5" s="1544"/>
      <c r="G5" s="1544"/>
      <c r="H5" s="1544"/>
      <c r="I5" s="1544"/>
      <c r="J5" s="1544"/>
      <c r="K5" s="1544" t="str">
        <f>+'19 Resumen'!D5</f>
        <v>Martin Delgado</v>
      </c>
      <c r="L5" s="1544"/>
      <c r="M5" s="1544"/>
      <c r="N5" s="1544" t="str">
        <f>+'19 Resumen'!D6</f>
        <v>Grupo Delgado´s</v>
      </c>
      <c r="O5" s="1544"/>
      <c r="P5" s="1545"/>
      <c r="Q5" s="1543" t="str">
        <f>+D5</f>
        <v>La Lasaña de Garfield</v>
      </c>
      <c r="R5" s="1544"/>
      <c r="S5" s="1544"/>
      <c r="T5" s="1544"/>
      <c r="U5" s="1544"/>
      <c r="V5" s="1544"/>
      <c r="W5" s="1544"/>
      <c r="X5" s="1544" t="str">
        <f>+K5</f>
        <v>Martin Delgado</v>
      </c>
      <c r="Y5" s="1544"/>
      <c r="Z5" s="1544"/>
      <c r="AA5" s="1544" t="str">
        <f>+N5</f>
        <v>Grupo Delgado´s</v>
      </c>
      <c r="AB5" s="1544"/>
      <c r="AC5" s="1545"/>
      <c r="AD5" s="1552" t="str">
        <f>+Q5</f>
        <v>La Lasaña de Garfield</v>
      </c>
      <c r="AE5" s="1553"/>
      <c r="AF5" s="1553"/>
      <c r="AG5" s="1553"/>
      <c r="AH5" s="1553" t="str">
        <f>+X5</f>
        <v>Martin Delgado</v>
      </c>
      <c r="AI5" s="1553"/>
      <c r="AJ5" s="1553"/>
      <c r="AK5" s="1553" t="str">
        <f>+AA5</f>
        <v>Grupo Delgado´s</v>
      </c>
      <c r="AL5" s="1553"/>
      <c r="AM5" s="1554"/>
    </row>
    <row r="6" spans="1:39" s="570" customFormat="1" ht="22.15" customHeight="1" thickBot="1" x14ac:dyDescent="0.35">
      <c r="A6" s="1566">
        <f>+'19 Resumen'!D2</f>
        <v>42747</v>
      </c>
      <c r="B6" s="1567"/>
      <c r="C6" s="1567"/>
      <c r="D6" s="1568" t="s">
        <v>160</v>
      </c>
      <c r="E6" s="1569"/>
      <c r="F6" s="1569"/>
      <c r="G6" s="1569"/>
      <c r="H6" s="1569"/>
      <c r="I6" s="1569"/>
      <c r="J6" s="1569"/>
      <c r="K6" s="1569"/>
      <c r="L6" s="1569"/>
      <c r="M6" s="1569"/>
      <c r="N6" s="1569"/>
      <c r="O6" s="1569"/>
      <c r="P6" s="1570"/>
      <c r="Q6" s="1555" t="str">
        <f>+D6</f>
        <v>Balance</v>
      </c>
      <c r="R6" s="1556"/>
      <c r="S6" s="1556"/>
      <c r="T6" s="1556"/>
      <c r="U6" s="1556"/>
      <c r="V6" s="1556"/>
      <c r="W6" s="1556"/>
      <c r="X6" s="1556"/>
      <c r="Y6" s="1556"/>
      <c r="Z6" s="1556"/>
      <c r="AA6" s="1556"/>
      <c r="AB6" s="1556"/>
      <c r="AC6" s="1557"/>
      <c r="AD6" s="1575" t="str">
        <f>+Q6</f>
        <v>Balance</v>
      </c>
      <c r="AE6" s="1576"/>
      <c r="AF6" s="1576"/>
      <c r="AG6" s="1576"/>
      <c r="AH6" s="1576"/>
      <c r="AI6" s="1576"/>
      <c r="AJ6" s="1576"/>
      <c r="AK6" s="1576"/>
      <c r="AL6" s="1576"/>
      <c r="AM6" s="1577"/>
    </row>
    <row r="7" spans="1:39" s="570" customFormat="1" ht="22.15" hidden="1" customHeight="1" thickBot="1" x14ac:dyDescent="0.35">
      <c r="A7" s="607"/>
      <c r="B7" s="608"/>
      <c r="C7" s="609"/>
      <c r="D7" s="610">
        <v>1</v>
      </c>
      <c r="E7" s="611">
        <f t="shared" ref="E7:O7" si="0">+D7+1</f>
        <v>2</v>
      </c>
      <c r="F7" s="611">
        <f t="shared" si="0"/>
        <v>3</v>
      </c>
      <c r="G7" s="611">
        <f t="shared" si="0"/>
        <v>4</v>
      </c>
      <c r="H7" s="611">
        <f t="shared" si="0"/>
        <v>5</v>
      </c>
      <c r="I7" s="611">
        <f t="shared" si="0"/>
        <v>6</v>
      </c>
      <c r="J7" s="611">
        <f t="shared" si="0"/>
        <v>7</v>
      </c>
      <c r="K7" s="611">
        <f t="shared" si="0"/>
        <v>8</v>
      </c>
      <c r="L7" s="611">
        <f t="shared" si="0"/>
        <v>9</v>
      </c>
      <c r="M7" s="611">
        <f t="shared" si="0"/>
        <v>10</v>
      </c>
      <c r="N7" s="611">
        <f t="shared" si="0"/>
        <v>11</v>
      </c>
      <c r="O7" s="611">
        <f t="shared" si="0"/>
        <v>12</v>
      </c>
      <c r="P7" s="612"/>
      <c r="Q7" s="613">
        <f>+O7+1</f>
        <v>13</v>
      </c>
      <c r="R7" s="611">
        <f t="shared" ref="R7:AB7" si="1">+Q7+1</f>
        <v>14</v>
      </c>
      <c r="S7" s="611">
        <f t="shared" si="1"/>
        <v>15</v>
      </c>
      <c r="T7" s="611">
        <f t="shared" si="1"/>
        <v>16</v>
      </c>
      <c r="U7" s="611">
        <f t="shared" si="1"/>
        <v>17</v>
      </c>
      <c r="V7" s="611">
        <f t="shared" si="1"/>
        <v>18</v>
      </c>
      <c r="W7" s="611">
        <f t="shared" si="1"/>
        <v>19</v>
      </c>
      <c r="X7" s="611">
        <f t="shared" si="1"/>
        <v>20</v>
      </c>
      <c r="Y7" s="611">
        <f t="shared" si="1"/>
        <v>21</v>
      </c>
      <c r="Z7" s="611">
        <f t="shared" si="1"/>
        <v>22</v>
      </c>
      <c r="AA7" s="611">
        <f t="shared" si="1"/>
        <v>23</v>
      </c>
      <c r="AB7" s="611">
        <f t="shared" si="1"/>
        <v>24</v>
      </c>
      <c r="AC7" s="614"/>
      <c r="AD7" s="615"/>
      <c r="AE7" s="616"/>
      <c r="AF7" s="616"/>
      <c r="AG7" s="616"/>
      <c r="AH7" s="616"/>
      <c r="AI7" s="616"/>
      <c r="AJ7" s="616"/>
      <c r="AK7" s="616"/>
      <c r="AL7" s="616"/>
      <c r="AM7" s="614"/>
    </row>
    <row r="8" spans="1:39" s="570" customFormat="1" ht="22.15" customHeight="1" thickBot="1" x14ac:dyDescent="0.35">
      <c r="A8" s="1560" t="s">
        <v>136</v>
      </c>
      <c r="B8" s="1561"/>
      <c r="C8" s="1560" t="s">
        <v>164</v>
      </c>
      <c r="D8" s="1549" t="s">
        <v>159</v>
      </c>
      <c r="E8" s="1550"/>
      <c r="F8" s="1550"/>
      <c r="G8" s="1550"/>
      <c r="H8" s="1550"/>
      <c r="I8" s="1550"/>
      <c r="J8" s="1550"/>
      <c r="K8" s="1550"/>
      <c r="L8" s="1550"/>
      <c r="M8" s="1550"/>
      <c r="N8" s="1550"/>
      <c r="O8" s="1550"/>
      <c r="P8" s="1551"/>
      <c r="Q8" s="1578" t="str">
        <f>+D8</f>
        <v>Proforma Mensual</v>
      </c>
      <c r="R8" s="1579"/>
      <c r="S8" s="1579"/>
      <c r="T8" s="1579"/>
      <c r="U8" s="1579"/>
      <c r="V8" s="1579"/>
      <c r="W8" s="1579"/>
      <c r="X8" s="1579"/>
      <c r="Y8" s="1579"/>
      <c r="Z8" s="1579"/>
      <c r="AA8" s="1579"/>
      <c r="AB8" s="1579"/>
      <c r="AC8" s="1580"/>
      <c r="AD8" s="1549" t="s">
        <v>158</v>
      </c>
      <c r="AE8" s="1550"/>
      <c r="AF8" s="1550"/>
      <c r="AG8" s="1550"/>
      <c r="AH8" s="1550"/>
      <c r="AI8" s="1550"/>
      <c r="AJ8" s="1550"/>
      <c r="AK8" s="1550"/>
      <c r="AL8" s="1550"/>
      <c r="AM8" s="1551"/>
    </row>
    <row r="9" spans="1:39" s="571" customFormat="1" ht="22.15" customHeight="1" x14ac:dyDescent="0.3">
      <c r="A9" s="1562"/>
      <c r="B9" s="1563"/>
      <c r="C9" s="1562"/>
      <c r="D9" s="1571">
        <f>+'5 Estado de Fuentes y Usos'!C9</f>
        <v>2017</v>
      </c>
      <c r="E9" s="1572"/>
      <c r="F9" s="1572"/>
      <c r="G9" s="1572"/>
      <c r="H9" s="1572"/>
      <c r="I9" s="1572"/>
      <c r="J9" s="1572"/>
      <c r="K9" s="1572"/>
      <c r="L9" s="1572"/>
      <c r="M9" s="1572"/>
      <c r="N9" s="1572"/>
      <c r="O9" s="1572"/>
      <c r="P9" s="1573" t="s">
        <v>130</v>
      </c>
      <c r="Q9" s="1571">
        <f>+D9+1</f>
        <v>2018</v>
      </c>
      <c r="R9" s="1572"/>
      <c r="S9" s="1572"/>
      <c r="T9" s="1572"/>
      <c r="U9" s="1572"/>
      <c r="V9" s="1572"/>
      <c r="W9" s="1572"/>
      <c r="X9" s="1572"/>
      <c r="Y9" s="1572"/>
      <c r="Z9" s="1572"/>
      <c r="AA9" s="1572"/>
      <c r="AB9" s="1572"/>
      <c r="AC9" s="1581" t="s">
        <v>132</v>
      </c>
      <c r="AD9" s="786" t="s">
        <v>1</v>
      </c>
      <c r="AE9" s="787" t="s">
        <v>1</v>
      </c>
      <c r="AF9" s="787" t="s">
        <v>1</v>
      </c>
      <c r="AG9" s="787" t="s">
        <v>1</v>
      </c>
      <c r="AH9" s="787" t="s">
        <v>1</v>
      </c>
      <c r="AI9" s="787" t="s">
        <v>1</v>
      </c>
      <c r="AJ9" s="787" t="s">
        <v>1</v>
      </c>
      <c r="AK9" s="787" t="s">
        <v>1</v>
      </c>
      <c r="AL9" s="787" t="s">
        <v>1</v>
      </c>
      <c r="AM9" s="788" t="s">
        <v>1</v>
      </c>
    </row>
    <row r="10" spans="1:39" s="571" customFormat="1" ht="21" customHeight="1" thickBot="1" x14ac:dyDescent="0.4">
      <c r="A10" s="1564"/>
      <c r="B10" s="1565"/>
      <c r="C10" s="1564"/>
      <c r="D10" s="789" t="s">
        <v>60</v>
      </c>
      <c r="E10" s="790" t="s">
        <v>61</v>
      </c>
      <c r="F10" s="790" t="s">
        <v>62</v>
      </c>
      <c r="G10" s="790" t="s">
        <v>63</v>
      </c>
      <c r="H10" s="790" t="s">
        <v>64</v>
      </c>
      <c r="I10" s="790" t="s">
        <v>65</v>
      </c>
      <c r="J10" s="790" t="s">
        <v>66</v>
      </c>
      <c r="K10" s="790" t="s">
        <v>67</v>
      </c>
      <c r="L10" s="790" t="s">
        <v>68</v>
      </c>
      <c r="M10" s="790" t="s">
        <v>69</v>
      </c>
      <c r="N10" s="790" t="s">
        <v>70</v>
      </c>
      <c r="O10" s="790" t="s">
        <v>71</v>
      </c>
      <c r="P10" s="1574"/>
      <c r="Q10" s="789" t="s">
        <v>60</v>
      </c>
      <c r="R10" s="790" t="s">
        <v>61</v>
      </c>
      <c r="S10" s="790" t="s">
        <v>62</v>
      </c>
      <c r="T10" s="790" t="s">
        <v>63</v>
      </c>
      <c r="U10" s="790" t="s">
        <v>64</v>
      </c>
      <c r="V10" s="790" t="s">
        <v>65</v>
      </c>
      <c r="W10" s="790" t="s">
        <v>66</v>
      </c>
      <c r="X10" s="790" t="s">
        <v>67</v>
      </c>
      <c r="Y10" s="790" t="s">
        <v>68</v>
      </c>
      <c r="Z10" s="790" t="s">
        <v>69</v>
      </c>
      <c r="AA10" s="790" t="s">
        <v>70</v>
      </c>
      <c r="AB10" s="790" t="s">
        <v>71</v>
      </c>
      <c r="AC10" s="1582"/>
      <c r="AD10" s="791">
        <f>+D9</f>
        <v>2017</v>
      </c>
      <c r="AE10" s="792">
        <f>+AD10+1</f>
        <v>2018</v>
      </c>
      <c r="AF10" s="792">
        <f t="shared" ref="AF10:AM10" si="2">+AE10+1</f>
        <v>2019</v>
      </c>
      <c r="AG10" s="792">
        <f t="shared" si="2"/>
        <v>2020</v>
      </c>
      <c r="AH10" s="792">
        <f t="shared" si="2"/>
        <v>2021</v>
      </c>
      <c r="AI10" s="792">
        <f t="shared" si="2"/>
        <v>2022</v>
      </c>
      <c r="AJ10" s="792">
        <f t="shared" si="2"/>
        <v>2023</v>
      </c>
      <c r="AK10" s="792">
        <f t="shared" si="2"/>
        <v>2024</v>
      </c>
      <c r="AL10" s="792">
        <f t="shared" si="2"/>
        <v>2025</v>
      </c>
      <c r="AM10" s="793">
        <f t="shared" si="2"/>
        <v>2026</v>
      </c>
    </row>
    <row r="11" spans="1:39" s="572" customFormat="1" ht="19.149999999999999" customHeight="1" thickBot="1" x14ac:dyDescent="0.35">
      <c r="A11" s="1549" t="s">
        <v>23</v>
      </c>
      <c r="B11" s="1550"/>
      <c r="C11" s="1550"/>
      <c r="D11" s="1549" t="str">
        <f>+A11</f>
        <v>Activo:</v>
      </c>
      <c r="E11" s="1550"/>
      <c r="F11" s="1550"/>
      <c r="G11" s="1550"/>
      <c r="H11" s="1550"/>
      <c r="I11" s="1550"/>
      <c r="J11" s="1550"/>
      <c r="K11" s="1550"/>
      <c r="L11" s="1550"/>
      <c r="M11" s="1550"/>
      <c r="N11" s="1550"/>
      <c r="O11" s="1550"/>
      <c r="P11" s="1551"/>
      <c r="Q11" s="1549" t="str">
        <f>+D11</f>
        <v>Activo:</v>
      </c>
      <c r="R11" s="1550"/>
      <c r="S11" s="1550"/>
      <c r="T11" s="1550"/>
      <c r="U11" s="1550"/>
      <c r="V11" s="1550"/>
      <c r="W11" s="1550"/>
      <c r="X11" s="1550"/>
      <c r="Y11" s="1550"/>
      <c r="Z11" s="1550"/>
      <c r="AA11" s="1550"/>
      <c r="AB11" s="1550"/>
      <c r="AC11" s="1551"/>
      <c r="AD11" s="1549" t="str">
        <f>+Q11</f>
        <v>Activo:</v>
      </c>
      <c r="AE11" s="1550"/>
      <c r="AF11" s="1550"/>
      <c r="AG11" s="1550"/>
      <c r="AH11" s="1550"/>
      <c r="AI11" s="1550"/>
      <c r="AJ11" s="1550"/>
      <c r="AK11" s="1550"/>
      <c r="AL11" s="1550"/>
      <c r="AM11" s="1551"/>
    </row>
    <row r="12" spans="1:39" ht="15" customHeight="1" x14ac:dyDescent="0.2">
      <c r="A12" s="1516" t="s">
        <v>24</v>
      </c>
      <c r="B12" s="1517"/>
      <c r="C12" s="1517"/>
      <c r="D12" s="1523" t="str">
        <f>+A12</f>
        <v>Activo circulante:</v>
      </c>
      <c r="E12" s="1521"/>
      <c r="F12" s="1521"/>
      <c r="G12" s="1521"/>
      <c r="H12" s="1521"/>
      <c r="I12" s="1521"/>
      <c r="J12" s="1521"/>
      <c r="K12" s="1521"/>
      <c r="L12" s="1521"/>
      <c r="M12" s="1521"/>
      <c r="N12" s="1521"/>
      <c r="O12" s="1521"/>
      <c r="P12" s="1522"/>
      <c r="Q12" s="1523" t="str">
        <f>+D12</f>
        <v>Activo circulante:</v>
      </c>
      <c r="R12" s="1521"/>
      <c r="S12" s="1521"/>
      <c r="T12" s="1521"/>
      <c r="U12" s="1521"/>
      <c r="V12" s="1521"/>
      <c r="W12" s="1521"/>
      <c r="X12" s="1521"/>
      <c r="Y12" s="1521"/>
      <c r="Z12" s="1521"/>
      <c r="AA12" s="1521"/>
      <c r="AB12" s="1521"/>
      <c r="AC12" s="1521"/>
      <c r="AD12" s="1546" t="str">
        <f>+Q12</f>
        <v>Activo circulante:</v>
      </c>
      <c r="AE12" s="1547"/>
      <c r="AF12" s="1547"/>
      <c r="AG12" s="1547"/>
      <c r="AH12" s="1547"/>
      <c r="AI12" s="1547"/>
      <c r="AJ12" s="1547"/>
      <c r="AK12" s="1547"/>
      <c r="AL12" s="1547"/>
      <c r="AM12" s="1548"/>
    </row>
    <row r="13" spans="1:39" ht="15" customHeight="1" x14ac:dyDescent="0.2">
      <c r="A13" s="794"/>
      <c r="B13" s="691" t="s">
        <v>25</v>
      </c>
      <c r="C13" s="795">
        <f>+'8 Programa de Inversiónes'!C8</f>
        <v>570000</v>
      </c>
      <c r="D13" s="305">
        <f>+'5 Estado de Fuentes y Usos'!C54</f>
        <v>0</v>
      </c>
      <c r="E13" s="714">
        <f>+'5 Estado de Fuentes y Usos'!D54</f>
        <v>570000</v>
      </c>
      <c r="F13" s="714">
        <f>+'5 Estado de Fuentes y Usos'!E54</f>
        <v>-280219</v>
      </c>
      <c r="G13" s="714">
        <f>+'5 Estado de Fuentes y Usos'!F54</f>
        <v>-482463</v>
      </c>
      <c r="H13" s="714">
        <f>+'5 Estado de Fuentes y Usos'!G54</f>
        <v>-807388</v>
      </c>
      <c r="I13" s="714">
        <f>+'5 Estado de Fuentes y Usos'!H54</f>
        <v>-358210.41195626243</v>
      </c>
      <c r="J13" s="714">
        <f>+'5 Estado de Fuentes y Usos'!I54</f>
        <v>-119155.47460815718</v>
      </c>
      <c r="K13" s="714">
        <f>+'5 Estado de Fuentes y Usos'!J54</f>
        <v>63817.870296806912</v>
      </c>
      <c r="L13" s="714">
        <f>+'5 Estado de Fuentes y Usos'!K54</f>
        <v>291968.30628660391</v>
      </c>
      <c r="M13" s="714">
        <f>+'5 Estado de Fuentes y Usos'!L54</f>
        <v>885601.8947104828</v>
      </c>
      <c r="N13" s="714">
        <f>+'5 Estado de Fuentes y Usos'!M54</f>
        <v>1696662.1097103644</v>
      </c>
      <c r="O13" s="714">
        <f>+'5 Estado de Fuentes y Usos'!N54</f>
        <v>2668838.0086363647</v>
      </c>
      <c r="P13" s="796">
        <f>+'5 Estado de Fuentes y Usos'!O54</f>
        <v>2668838.0086363629</v>
      </c>
      <c r="Q13" s="305">
        <f>+'5 Estado de Fuentes y Usos'!P54</f>
        <v>-655079.20259932661</v>
      </c>
      <c r="R13" s="714">
        <f>+'5 Estado de Fuentes y Usos'!Q54</f>
        <v>-218723.15381144767</v>
      </c>
      <c r="S13" s="714">
        <f>+'5 Estado de Fuentes y Usos'!R54</f>
        <v>203472.53375000018</v>
      </c>
      <c r="T13" s="714">
        <f>+'5 Estado de Fuentes y Usos'!S54</f>
        <v>44518.882293086033</v>
      </c>
      <c r="U13" s="714">
        <f>+'5 Estado de Fuentes y Usos'!T54</f>
        <v>661307.17615167215</v>
      </c>
      <c r="V13" s="714">
        <f>+'5 Estado de Fuentes y Usos'!U54</f>
        <v>991793.04103382677</v>
      </c>
      <c r="W13" s="714">
        <f>+'5 Estado de Fuentes y Usos'!V54</f>
        <v>1254224.2444395507</v>
      </c>
      <c r="X13" s="714">
        <f>+'5 Estado de Fuentes y Usos'!W54</f>
        <v>1448136.2663688436</v>
      </c>
      <c r="Y13" s="714">
        <f>+'5 Estado de Fuentes y Usos'!X54</f>
        <v>1689721.3473217057</v>
      </c>
      <c r="Z13" s="714">
        <f>+'5 Estado de Fuentes y Usos'!Y54</f>
        <v>2303844.9862981373</v>
      </c>
      <c r="AA13" s="714">
        <f>+'5 Estado de Fuentes y Usos'!Z54</f>
        <v>3136763.9152981369</v>
      </c>
      <c r="AB13" s="714">
        <f>+'5 Estado de Fuentes y Usos'!AA54</f>
        <v>4029401.421321705</v>
      </c>
      <c r="AC13" s="797">
        <f>+AB13</f>
        <v>4029401.421321705</v>
      </c>
      <c r="AD13" s="305">
        <f>+'5 Estado de Fuentes y Usos'!AC54</f>
        <v>2668838.0086363629</v>
      </c>
      <c r="AE13" s="714">
        <f>+AC13</f>
        <v>4029401.421321705</v>
      </c>
      <c r="AF13" s="714">
        <f>+'5 Estado de Fuentes y Usos'!AE54</f>
        <v>8880450.1874570735</v>
      </c>
      <c r="AG13" s="714">
        <f>+'5 Estado de Fuentes y Usos'!AF54</f>
        <v>14191669.33408672</v>
      </c>
      <c r="AH13" s="714">
        <f>+'5 Estado de Fuentes y Usos'!AG54</f>
        <v>20150893.572340626</v>
      </c>
      <c r="AI13" s="714">
        <f>+'5 Estado de Fuentes y Usos'!AH54</f>
        <v>26784822.013209213</v>
      </c>
      <c r="AJ13" s="714">
        <f>+'5 Estado de Fuentes y Usos'!AI54</f>
        <v>33787594.359412938</v>
      </c>
      <c r="AK13" s="714">
        <f>+'5 Estado de Fuentes y Usos'!AJ54</f>
        <v>42559493.328568466</v>
      </c>
      <c r="AL13" s="714">
        <f>+'5 Estado de Fuentes y Usos'!AK54</f>
        <v>52462177.898280293</v>
      </c>
      <c r="AM13" s="798">
        <f>+'5 Estado de Fuentes y Usos'!AL54</f>
        <v>62684756.228039727</v>
      </c>
    </row>
    <row r="14" spans="1:39" ht="15" customHeight="1" x14ac:dyDescent="0.2">
      <c r="A14" s="794"/>
      <c r="B14" s="691" t="s">
        <v>398</v>
      </c>
      <c r="C14" s="795">
        <f>+'8 Programa de Inversiónes'!C11</f>
        <v>0</v>
      </c>
      <c r="D14" s="305"/>
      <c r="E14" s="714">
        <f>+'5 Estado de Fuentes y Usos'!D23</f>
        <v>0</v>
      </c>
      <c r="F14" s="714">
        <f>+E14</f>
        <v>0</v>
      </c>
      <c r="G14" s="714">
        <f t="shared" ref="G14:O14" si="3">+F14</f>
        <v>0</v>
      </c>
      <c r="H14" s="714">
        <f t="shared" si="3"/>
        <v>0</v>
      </c>
      <c r="I14" s="714">
        <f t="shared" si="3"/>
        <v>0</v>
      </c>
      <c r="J14" s="714">
        <f t="shared" si="3"/>
        <v>0</v>
      </c>
      <c r="K14" s="714">
        <f t="shared" si="3"/>
        <v>0</v>
      </c>
      <c r="L14" s="714">
        <f t="shared" si="3"/>
        <v>0</v>
      </c>
      <c r="M14" s="714">
        <f t="shared" si="3"/>
        <v>0</v>
      </c>
      <c r="N14" s="714">
        <f t="shared" si="3"/>
        <v>0</v>
      </c>
      <c r="O14" s="714">
        <f t="shared" si="3"/>
        <v>0</v>
      </c>
      <c r="P14" s="796">
        <f>+O14</f>
        <v>0</v>
      </c>
      <c r="Q14" s="794">
        <f>+O14</f>
        <v>0</v>
      </c>
      <c r="R14" s="714">
        <f>+Q14</f>
        <v>0</v>
      </c>
      <c r="S14" s="714">
        <f t="shared" ref="S14:AB14" si="4">+R14</f>
        <v>0</v>
      </c>
      <c r="T14" s="714">
        <f t="shared" si="4"/>
        <v>0</v>
      </c>
      <c r="U14" s="714">
        <f t="shared" si="4"/>
        <v>0</v>
      </c>
      <c r="V14" s="714">
        <f t="shared" si="4"/>
        <v>0</v>
      </c>
      <c r="W14" s="714">
        <f t="shared" si="4"/>
        <v>0</v>
      </c>
      <c r="X14" s="714">
        <f t="shared" si="4"/>
        <v>0</v>
      </c>
      <c r="Y14" s="714">
        <f t="shared" si="4"/>
        <v>0</v>
      </c>
      <c r="Z14" s="714">
        <f t="shared" si="4"/>
        <v>0</v>
      </c>
      <c r="AA14" s="714">
        <f t="shared" si="4"/>
        <v>0</v>
      </c>
      <c r="AB14" s="691">
        <f t="shared" si="4"/>
        <v>0</v>
      </c>
      <c r="AC14" s="797">
        <f>+AB14</f>
        <v>0</v>
      </c>
      <c r="AD14" s="305">
        <f>+P14</f>
        <v>0</v>
      </c>
      <c r="AE14" s="714">
        <f>+AC14</f>
        <v>0</v>
      </c>
      <c r="AF14" s="714">
        <f t="shared" ref="AE14:AM15" si="5">+R14</f>
        <v>0</v>
      </c>
      <c r="AG14" s="714">
        <f t="shared" si="5"/>
        <v>0</v>
      </c>
      <c r="AH14" s="714">
        <f t="shared" si="5"/>
        <v>0</v>
      </c>
      <c r="AI14" s="714">
        <f t="shared" si="5"/>
        <v>0</v>
      </c>
      <c r="AJ14" s="714">
        <f t="shared" si="5"/>
        <v>0</v>
      </c>
      <c r="AK14" s="714">
        <f t="shared" si="5"/>
        <v>0</v>
      </c>
      <c r="AL14" s="714">
        <f t="shared" si="5"/>
        <v>0</v>
      </c>
      <c r="AM14" s="798">
        <f t="shared" si="5"/>
        <v>0</v>
      </c>
    </row>
    <row r="15" spans="1:39" ht="15" customHeight="1" x14ac:dyDescent="0.2">
      <c r="A15" s="794"/>
      <c r="B15" s="691"/>
      <c r="C15" s="795"/>
      <c r="D15" s="305"/>
      <c r="E15" s="714"/>
      <c r="F15" s="714"/>
      <c r="G15" s="714"/>
      <c r="H15" s="714"/>
      <c r="I15" s="714"/>
      <c r="J15" s="714"/>
      <c r="K15" s="714"/>
      <c r="L15" s="714"/>
      <c r="M15" s="714"/>
      <c r="N15" s="714"/>
      <c r="O15" s="714"/>
      <c r="P15" s="796">
        <f>SUM(D15:O15)</f>
        <v>0</v>
      </c>
      <c r="Q15" s="794"/>
      <c r="R15" s="714"/>
      <c r="S15" s="714"/>
      <c r="T15" s="714"/>
      <c r="U15" s="714"/>
      <c r="V15" s="714"/>
      <c r="W15" s="714"/>
      <c r="X15" s="714"/>
      <c r="Y15" s="714"/>
      <c r="Z15" s="714"/>
      <c r="AA15" s="714"/>
      <c r="AB15" s="691"/>
      <c r="AC15" s="797">
        <f>SUM(Q15:AB15)</f>
        <v>0</v>
      </c>
      <c r="AD15" s="305">
        <f>+P15</f>
        <v>0</v>
      </c>
      <c r="AE15" s="714">
        <f t="shared" si="5"/>
        <v>0</v>
      </c>
      <c r="AF15" s="714">
        <f t="shared" si="5"/>
        <v>0</v>
      </c>
      <c r="AG15" s="714">
        <f t="shared" si="5"/>
        <v>0</v>
      </c>
      <c r="AH15" s="714">
        <f t="shared" si="5"/>
        <v>0</v>
      </c>
      <c r="AI15" s="714">
        <f t="shared" si="5"/>
        <v>0</v>
      </c>
      <c r="AJ15" s="714">
        <f t="shared" si="5"/>
        <v>0</v>
      </c>
      <c r="AK15" s="714">
        <f t="shared" si="5"/>
        <v>0</v>
      </c>
      <c r="AL15" s="714">
        <f t="shared" si="5"/>
        <v>0</v>
      </c>
      <c r="AM15" s="798">
        <f t="shared" si="5"/>
        <v>0</v>
      </c>
    </row>
    <row r="16" spans="1:39" ht="15" customHeight="1" x14ac:dyDescent="0.2">
      <c r="A16" s="794"/>
      <c r="B16" s="691"/>
      <c r="C16" s="795"/>
      <c r="D16" s="305"/>
      <c r="E16" s="714"/>
      <c r="F16" s="714"/>
      <c r="G16" s="714"/>
      <c r="H16" s="714"/>
      <c r="I16" s="714"/>
      <c r="J16" s="714"/>
      <c r="K16" s="714"/>
      <c r="L16" s="714"/>
      <c r="M16" s="714"/>
      <c r="N16" s="714"/>
      <c r="O16" s="714"/>
      <c r="P16" s="796">
        <f>SUM(D16:O16)</f>
        <v>0</v>
      </c>
      <c r="Q16" s="794"/>
      <c r="R16" s="714"/>
      <c r="S16" s="714"/>
      <c r="T16" s="714"/>
      <c r="U16" s="714"/>
      <c r="V16" s="714"/>
      <c r="W16" s="714"/>
      <c r="X16" s="714"/>
      <c r="Y16" s="714"/>
      <c r="Z16" s="714"/>
      <c r="AA16" s="714"/>
      <c r="AB16" s="691"/>
      <c r="AC16" s="797">
        <f>SUM(Q16:AB16)</f>
        <v>0</v>
      </c>
      <c r="AD16" s="305"/>
      <c r="AE16" s="714"/>
      <c r="AF16" s="714"/>
      <c r="AG16" s="714"/>
      <c r="AH16" s="714"/>
      <c r="AI16" s="714"/>
      <c r="AJ16" s="714"/>
      <c r="AK16" s="714"/>
      <c r="AL16" s="714"/>
      <c r="AM16" s="796"/>
    </row>
    <row r="17" spans="1:39" ht="15" customHeight="1" x14ac:dyDescent="0.2">
      <c r="A17" s="794"/>
      <c r="B17" s="691">
        <f>+'8 Programa de Inversiónes'!B12</f>
        <v>0</v>
      </c>
      <c r="C17" s="795"/>
      <c r="D17" s="305"/>
      <c r="E17" s="714"/>
      <c r="F17" s="714"/>
      <c r="G17" s="714"/>
      <c r="H17" s="714"/>
      <c r="I17" s="714"/>
      <c r="J17" s="714"/>
      <c r="K17" s="714"/>
      <c r="L17" s="714"/>
      <c r="M17" s="714"/>
      <c r="N17" s="714"/>
      <c r="O17" s="714"/>
      <c r="P17" s="796">
        <f>SUM(D17:O17)</f>
        <v>0</v>
      </c>
      <c r="Q17" s="305"/>
      <c r="R17" s="714"/>
      <c r="S17" s="714"/>
      <c r="T17" s="714"/>
      <c r="U17" s="714"/>
      <c r="V17" s="714"/>
      <c r="W17" s="714"/>
      <c r="X17" s="714"/>
      <c r="Y17" s="714"/>
      <c r="Z17" s="714"/>
      <c r="AA17" s="714"/>
      <c r="AB17" s="714"/>
      <c r="AC17" s="797">
        <f>SUM(Q17:AB17)</f>
        <v>0</v>
      </c>
      <c r="AD17" s="305"/>
      <c r="AE17" s="714"/>
      <c r="AF17" s="714"/>
      <c r="AG17" s="714"/>
      <c r="AH17" s="714"/>
      <c r="AI17" s="714"/>
      <c r="AJ17" s="714"/>
      <c r="AK17" s="714"/>
      <c r="AL17" s="714"/>
      <c r="AM17" s="796"/>
    </row>
    <row r="18" spans="1:39" ht="15" customHeight="1" x14ac:dyDescent="0.2">
      <c r="A18" s="794"/>
      <c r="B18" s="691"/>
      <c r="C18" s="795">
        <f>+'8 Programa de Inversiónes'!C13</f>
        <v>0</v>
      </c>
      <c r="D18" s="305"/>
      <c r="E18" s="714"/>
      <c r="F18" s="714"/>
      <c r="G18" s="714"/>
      <c r="H18" s="714"/>
      <c r="I18" s="714"/>
      <c r="J18" s="714"/>
      <c r="K18" s="714"/>
      <c r="L18" s="714"/>
      <c r="M18" s="714"/>
      <c r="N18" s="714"/>
      <c r="O18" s="714"/>
      <c r="P18" s="796">
        <f>SUM(D18:O18)</f>
        <v>0</v>
      </c>
      <c r="Q18" s="305"/>
      <c r="R18" s="714"/>
      <c r="S18" s="714"/>
      <c r="T18" s="714"/>
      <c r="U18" s="714"/>
      <c r="V18" s="714"/>
      <c r="W18" s="714"/>
      <c r="X18" s="714"/>
      <c r="Y18" s="714"/>
      <c r="Z18" s="714"/>
      <c r="AA18" s="714"/>
      <c r="AB18" s="714"/>
      <c r="AC18" s="797">
        <f>SUM(Q18:AB18)</f>
        <v>0</v>
      </c>
      <c r="AD18" s="305"/>
      <c r="AE18" s="714"/>
      <c r="AF18" s="714"/>
      <c r="AG18" s="714"/>
      <c r="AH18" s="714"/>
      <c r="AI18" s="714"/>
      <c r="AJ18" s="714"/>
      <c r="AK18" s="714"/>
      <c r="AL18" s="714"/>
      <c r="AM18" s="796"/>
    </row>
    <row r="19" spans="1:39" ht="15" customHeight="1" thickBot="1" x14ac:dyDescent="0.25">
      <c r="A19" s="799" t="s">
        <v>83</v>
      </c>
      <c r="B19" s="800"/>
      <c r="C19" s="801">
        <f t="shared" ref="C19:AM19" si="6">SUM(C13:C18)</f>
        <v>570000</v>
      </c>
      <c r="D19" s="802">
        <f t="shared" si="6"/>
        <v>0</v>
      </c>
      <c r="E19" s="803">
        <f t="shared" si="6"/>
        <v>570000</v>
      </c>
      <c r="F19" s="803">
        <f>SUM(F13:F18)</f>
        <v>-280219</v>
      </c>
      <c r="G19" s="803">
        <f t="shared" si="6"/>
        <v>-482463</v>
      </c>
      <c r="H19" s="803">
        <f t="shared" si="6"/>
        <v>-807388</v>
      </c>
      <c r="I19" s="803">
        <f t="shared" si="6"/>
        <v>-358210.41195626243</v>
      </c>
      <c r="J19" s="803">
        <f t="shared" si="6"/>
        <v>-119155.47460815718</v>
      </c>
      <c r="K19" s="803">
        <f t="shared" si="6"/>
        <v>63817.870296806912</v>
      </c>
      <c r="L19" s="803">
        <f t="shared" si="6"/>
        <v>291968.30628660391</v>
      </c>
      <c r="M19" s="803">
        <f t="shared" si="6"/>
        <v>885601.8947104828</v>
      </c>
      <c r="N19" s="803">
        <f t="shared" si="6"/>
        <v>1696662.1097103644</v>
      </c>
      <c r="O19" s="803">
        <f t="shared" si="6"/>
        <v>2668838.0086363647</v>
      </c>
      <c r="P19" s="804">
        <f t="shared" si="6"/>
        <v>2668838.0086363629</v>
      </c>
      <c r="Q19" s="802">
        <f t="shared" si="6"/>
        <v>-655079.20259932661</v>
      </c>
      <c r="R19" s="803">
        <f t="shared" si="6"/>
        <v>-218723.15381144767</v>
      </c>
      <c r="S19" s="803">
        <f t="shared" si="6"/>
        <v>203472.53375000018</v>
      </c>
      <c r="T19" s="803">
        <f t="shared" si="6"/>
        <v>44518.882293086033</v>
      </c>
      <c r="U19" s="803">
        <f t="shared" si="6"/>
        <v>661307.17615167215</v>
      </c>
      <c r="V19" s="803">
        <f t="shared" si="6"/>
        <v>991793.04103382677</v>
      </c>
      <c r="W19" s="803">
        <f t="shared" si="6"/>
        <v>1254224.2444395507</v>
      </c>
      <c r="X19" s="803">
        <f t="shared" si="6"/>
        <v>1448136.2663688436</v>
      </c>
      <c r="Y19" s="803">
        <f t="shared" si="6"/>
        <v>1689721.3473217057</v>
      </c>
      <c r="Z19" s="803">
        <f t="shared" si="6"/>
        <v>2303844.9862981373</v>
      </c>
      <c r="AA19" s="803">
        <f t="shared" si="6"/>
        <v>3136763.9152981369</v>
      </c>
      <c r="AB19" s="803">
        <f t="shared" si="6"/>
        <v>4029401.421321705</v>
      </c>
      <c r="AC19" s="801">
        <f t="shared" si="6"/>
        <v>4029401.421321705</v>
      </c>
      <c r="AD19" s="802">
        <f t="shared" si="6"/>
        <v>2668838.0086363629</v>
      </c>
      <c r="AE19" s="803">
        <f t="shared" si="6"/>
        <v>4029401.421321705</v>
      </c>
      <c r="AF19" s="803">
        <f t="shared" si="6"/>
        <v>8880450.1874570735</v>
      </c>
      <c r="AG19" s="803">
        <f t="shared" si="6"/>
        <v>14191669.33408672</v>
      </c>
      <c r="AH19" s="803">
        <f t="shared" si="6"/>
        <v>20150893.572340626</v>
      </c>
      <c r="AI19" s="803">
        <f t="shared" si="6"/>
        <v>26784822.013209213</v>
      </c>
      <c r="AJ19" s="803">
        <f t="shared" si="6"/>
        <v>33787594.359412938</v>
      </c>
      <c r="AK19" s="803">
        <f t="shared" si="6"/>
        <v>42559493.328568466</v>
      </c>
      <c r="AL19" s="803">
        <f t="shared" si="6"/>
        <v>52462177.898280293</v>
      </c>
      <c r="AM19" s="804">
        <f t="shared" si="6"/>
        <v>62684756.228039727</v>
      </c>
    </row>
    <row r="20" spans="1:39" ht="15" customHeight="1" thickBot="1" x14ac:dyDescent="0.25">
      <c r="A20" s="805"/>
      <c r="B20" s="806"/>
      <c r="C20" s="806"/>
      <c r="D20" s="805"/>
      <c r="E20" s="806"/>
      <c r="F20" s="806"/>
      <c r="G20" s="806"/>
      <c r="H20" s="806"/>
      <c r="I20" s="806"/>
      <c r="J20" s="806"/>
      <c r="K20" s="806"/>
      <c r="L20" s="806"/>
      <c r="M20" s="806"/>
      <c r="N20" s="806"/>
      <c r="O20" s="806"/>
      <c r="P20" s="807"/>
      <c r="Q20" s="805"/>
      <c r="R20" s="806"/>
      <c r="S20" s="806"/>
      <c r="T20" s="806"/>
      <c r="U20" s="806"/>
      <c r="V20" s="806"/>
      <c r="W20" s="806"/>
      <c r="X20" s="806"/>
      <c r="Y20" s="806"/>
      <c r="Z20" s="806"/>
      <c r="AA20" s="806"/>
      <c r="AB20" s="806"/>
      <c r="AC20" s="807"/>
      <c r="AD20" s="805"/>
      <c r="AE20" s="806"/>
      <c r="AF20" s="806"/>
      <c r="AG20" s="806"/>
      <c r="AH20" s="806"/>
      <c r="AI20" s="806"/>
      <c r="AJ20" s="806"/>
      <c r="AK20" s="806"/>
      <c r="AL20" s="806"/>
      <c r="AM20" s="807"/>
    </row>
    <row r="21" spans="1:39" ht="15" customHeight="1" x14ac:dyDescent="0.2">
      <c r="A21" s="1516" t="s">
        <v>26</v>
      </c>
      <c r="B21" s="1517"/>
      <c r="C21" s="1518"/>
      <c r="D21" s="1531" t="str">
        <f>+A21</f>
        <v>Activo fijo:</v>
      </c>
      <c r="E21" s="1528"/>
      <c r="F21" s="1528"/>
      <c r="G21" s="1528"/>
      <c r="H21" s="1528"/>
      <c r="I21" s="1528"/>
      <c r="J21" s="1528"/>
      <c r="K21" s="1528"/>
      <c r="L21" s="1528"/>
      <c r="M21" s="1528"/>
      <c r="N21" s="1528"/>
      <c r="O21" s="1528"/>
      <c r="P21" s="1530"/>
      <c r="Q21" s="1523" t="str">
        <f>+D21</f>
        <v>Activo fijo:</v>
      </c>
      <c r="R21" s="1521"/>
      <c r="S21" s="1521"/>
      <c r="T21" s="1521"/>
      <c r="U21" s="1521"/>
      <c r="V21" s="1521"/>
      <c r="W21" s="1521"/>
      <c r="X21" s="1521"/>
      <c r="Y21" s="1521"/>
      <c r="Z21" s="1521"/>
      <c r="AA21" s="1521"/>
      <c r="AB21" s="1521"/>
      <c r="AC21" s="1522"/>
      <c r="AD21" s="1523" t="str">
        <f>+Q21</f>
        <v>Activo fijo:</v>
      </c>
      <c r="AE21" s="1521"/>
      <c r="AF21" s="1521"/>
      <c r="AG21" s="1521"/>
      <c r="AH21" s="1521"/>
      <c r="AI21" s="1521"/>
      <c r="AJ21" s="1521"/>
      <c r="AK21" s="1521"/>
      <c r="AL21" s="1521"/>
      <c r="AM21" s="1522"/>
    </row>
    <row r="22" spans="1:39" x14ac:dyDescent="0.2">
      <c r="A22" s="794"/>
      <c r="B22" s="691" t="s">
        <v>27</v>
      </c>
      <c r="C22" s="798">
        <f>+'8 Programa de Inversiónes'!C17</f>
        <v>870000</v>
      </c>
      <c r="D22" s="714">
        <f>IF(D$71=0,0,IF(C22=0,$C22+'5 Estado de Fuentes y Usos'!C24,+C22+'5 Estado de Fuentes y Usos'!C24))</f>
        <v>0</v>
      </c>
      <c r="E22" s="714">
        <f>IF(E$71=0,0,IF(D22=0,$C22+'5 Estado de Fuentes y Usos'!D24,+D22+'5 Estado de Fuentes y Usos'!D24))</f>
        <v>870000</v>
      </c>
      <c r="F22" s="714">
        <f>IF(F$71=0,0,IF(E22=0,$C22+'5 Estado de Fuentes y Usos'!E24,+E22+'5 Estado de Fuentes y Usos'!E24))</f>
        <v>870000</v>
      </c>
      <c r="G22" s="714">
        <f>IF(G$71=0,0,IF(F22=0,$C22+'5 Estado de Fuentes y Usos'!F24,+F22+'5 Estado de Fuentes y Usos'!F24))</f>
        <v>870000</v>
      </c>
      <c r="H22" s="714">
        <f>IF(H$71=0,0,IF(G22=0,$C22+'5 Estado de Fuentes y Usos'!G24,+G22+'5 Estado de Fuentes y Usos'!G24))</f>
        <v>870000</v>
      </c>
      <c r="I22" s="714">
        <f>IF(I$71=0,0,IF(H22=0,$C22+'5 Estado de Fuentes y Usos'!H24,+H22+'5 Estado de Fuentes y Usos'!H24))</f>
        <v>870000</v>
      </c>
      <c r="J22" s="714">
        <f>IF(J$71=0,0,IF(I22=0,$C22+'5 Estado de Fuentes y Usos'!I24,+I22+'5 Estado de Fuentes y Usos'!I24))</f>
        <v>870000</v>
      </c>
      <c r="K22" s="714">
        <f>IF(K$71=0,0,IF(J22=0,$C22+'5 Estado de Fuentes y Usos'!J24,+J22+'5 Estado de Fuentes y Usos'!J24))</f>
        <v>870000</v>
      </c>
      <c r="L22" s="714">
        <f>IF(L$71=0,0,IF(K22=0,$C22+'5 Estado de Fuentes y Usos'!K24,+K22+'5 Estado de Fuentes y Usos'!K24))</f>
        <v>870000</v>
      </c>
      <c r="M22" s="714">
        <f>IF(M$71=0,0,IF(L22=0,$C22+'5 Estado de Fuentes y Usos'!L24,+L22+'5 Estado de Fuentes y Usos'!L24))</f>
        <v>870000</v>
      </c>
      <c r="N22" s="714">
        <f>IF(N$71=0,0,IF(M22=0,$C22+'5 Estado de Fuentes y Usos'!M24,+M22+'5 Estado de Fuentes y Usos'!M24))</f>
        <v>870000</v>
      </c>
      <c r="O22" s="714">
        <f>IF(O$71=0,0,IF(N22=0,$C22+'5 Estado de Fuentes y Usos'!N24,+N22+'5 Estado de Fuentes y Usos'!N24))</f>
        <v>870000</v>
      </c>
      <c r="P22" s="796">
        <f>+O22</f>
        <v>870000</v>
      </c>
      <c r="Q22" s="305">
        <f>IF(Q$71=0,0,IF(P22=0,$C22+'5 Estado de Fuentes y Usos'!P24,+P22+'5 Estado de Fuentes y Usos'!P24))</f>
        <v>870000</v>
      </c>
      <c r="R22" s="714">
        <f>IF(R$71=0,0,IF(Q22=0,$C22+'5 Estado de Fuentes y Usos'!Q24,+Q22+'5 Estado de Fuentes y Usos'!Q24))</f>
        <v>870000</v>
      </c>
      <c r="S22" s="714">
        <f>IF(S$71=0,0,IF(R22=0,$C22+'5 Estado de Fuentes y Usos'!R24,+R22+'5 Estado de Fuentes y Usos'!R24))</f>
        <v>870000</v>
      </c>
      <c r="T22" s="714">
        <f>IF(T$71=0,0,IF(S22=0,$C22+'5 Estado de Fuentes y Usos'!S24,+S22+'5 Estado de Fuentes y Usos'!S24))</f>
        <v>870000</v>
      </c>
      <c r="U22" s="714">
        <f>IF(U$71=0,0,IF(T22=0,$C22+'5 Estado de Fuentes y Usos'!T24,+T22+'5 Estado de Fuentes y Usos'!T24))</f>
        <v>870000</v>
      </c>
      <c r="V22" s="714">
        <f>IF(V$71=0,0,IF(U22=0,$C22+'5 Estado de Fuentes y Usos'!U24,+U22+'5 Estado de Fuentes y Usos'!U24))</f>
        <v>870000</v>
      </c>
      <c r="W22" s="714">
        <f>IF(W$71=0,0,IF(V22=0,$C22+'5 Estado de Fuentes y Usos'!V24,+V22+'5 Estado de Fuentes y Usos'!V24))</f>
        <v>870000</v>
      </c>
      <c r="X22" s="714">
        <f>IF(X$71=0,0,IF(W22=0,$C22+'5 Estado de Fuentes y Usos'!W24,+W22+'5 Estado de Fuentes y Usos'!W24))</f>
        <v>870000</v>
      </c>
      <c r="Y22" s="714">
        <f>IF(Y$71=0,0,IF(X22=0,$C22+'5 Estado de Fuentes y Usos'!X24,+X22+'5 Estado de Fuentes y Usos'!X24))</f>
        <v>870000</v>
      </c>
      <c r="Z22" s="714">
        <f>IF(Z$71=0,0,IF(Y22=0,$C22+'5 Estado de Fuentes y Usos'!Y24,+Y22+'5 Estado de Fuentes y Usos'!Y24))</f>
        <v>870000</v>
      </c>
      <c r="AA22" s="714">
        <f>IF(AA$71=0,0,IF(Z22=0,$C22+'5 Estado de Fuentes y Usos'!Z24,+Z22+'5 Estado de Fuentes y Usos'!Z24))</f>
        <v>870000</v>
      </c>
      <c r="AB22" s="714">
        <f>IF(AB$71=0,0,IF(AA22=0,$C22+'5 Estado de Fuentes y Usos'!AA24,+AA22+'5 Estado de Fuentes y Usos'!AA24))</f>
        <v>870000</v>
      </c>
      <c r="AC22" s="796">
        <f>+AB22</f>
        <v>870000</v>
      </c>
      <c r="AD22" s="305">
        <f>+P22</f>
        <v>870000</v>
      </c>
      <c r="AE22" s="714">
        <f>+AC22</f>
        <v>870000</v>
      </c>
      <c r="AF22" s="714">
        <f>+AE22+'5 Estado de Fuentes y Usos'!AE24</f>
        <v>870000</v>
      </c>
      <c r="AG22" s="714">
        <f>+AF22+'5 Estado de Fuentes y Usos'!AF24</f>
        <v>870000</v>
      </c>
      <c r="AH22" s="714">
        <f>+AG22+'5 Estado de Fuentes y Usos'!AG24</f>
        <v>870000</v>
      </c>
      <c r="AI22" s="714">
        <f>+AH22+'5 Estado de Fuentes y Usos'!AH24</f>
        <v>870000</v>
      </c>
      <c r="AJ22" s="714">
        <f>+AI22+'5 Estado de Fuentes y Usos'!AI24</f>
        <v>870000</v>
      </c>
      <c r="AK22" s="714">
        <f>+AJ22+'5 Estado de Fuentes y Usos'!AJ24</f>
        <v>870000</v>
      </c>
      <c r="AL22" s="714">
        <f>+AK22+'5 Estado de Fuentes y Usos'!AK24</f>
        <v>870000</v>
      </c>
      <c r="AM22" s="796">
        <f>+AL22+'5 Estado de Fuentes y Usos'!AL24</f>
        <v>870000</v>
      </c>
    </row>
    <row r="23" spans="1:39" x14ac:dyDescent="0.2">
      <c r="A23" s="794"/>
      <c r="B23" s="691" t="s">
        <v>8</v>
      </c>
      <c r="C23" s="798">
        <f>+'5 Estado de Fuentes y Usos'!B25</f>
        <v>0</v>
      </c>
      <c r="D23" s="691">
        <f>IF(D$71=0,0,IF(C23=0,$C23+'5 Estado de Fuentes y Usos'!C25,+C23+'5 Estado de Fuentes y Usos'!C25))</f>
        <v>0</v>
      </c>
      <c r="E23" s="714">
        <f>IF(E$71=0,0,IF(D23=0,$C23+'5 Estado de Fuentes y Usos'!D25,+D23+'5 Estado de Fuentes y Usos'!D25))</f>
        <v>0</v>
      </c>
      <c r="F23" s="714">
        <f>IF(F$71=0,0,IF(E23=0,$C23+'5 Estado de Fuentes y Usos'!E25,+E23+'5 Estado de Fuentes y Usos'!E25))</f>
        <v>0</v>
      </c>
      <c r="G23" s="714">
        <f>IF(G$71=0,0,IF(F23=0,$C23+'5 Estado de Fuentes y Usos'!F25,+F23+'5 Estado de Fuentes y Usos'!F25))</f>
        <v>0</v>
      </c>
      <c r="H23" s="714">
        <f>IF(H$71=0,0,IF(G23=0,$C23+'5 Estado de Fuentes y Usos'!G25,+G23+'5 Estado de Fuentes y Usos'!G25))</f>
        <v>0</v>
      </c>
      <c r="I23" s="714">
        <f>IF(I$71=0,0,IF(H23=0,$C23+'5 Estado de Fuentes y Usos'!H25,+H23+'5 Estado de Fuentes y Usos'!H25))</f>
        <v>0</v>
      </c>
      <c r="J23" s="714">
        <f>IF(J$71=0,0,IF(I23=0,$C23+'5 Estado de Fuentes y Usos'!I25,+I23+'5 Estado de Fuentes y Usos'!I25))</f>
        <v>0</v>
      </c>
      <c r="K23" s="714">
        <f>IF(K$71=0,0,IF(J23=0,$C23+'5 Estado de Fuentes y Usos'!J25,+J23+'5 Estado de Fuentes y Usos'!J25))</f>
        <v>0</v>
      </c>
      <c r="L23" s="714">
        <f>IF(L$71=0,0,IF(K23=0,$C23+'5 Estado de Fuentes y Usos'!K25,+K23+'5 Estado de Fuentes y Usos'!K25))</f>
        <v>0</v>
      </c>
      <c r="M23" s="714">
        <f>IF(M$71=0,0,IF(L23=0,$C23+'5 Estado de Fuentes y Usos'!M25,+L23+'5 Estado de Fuentes y Usos'!M25))</f>
        <v>0</v>
      </c>
      <c r="N23" s="714">
        <f>IF(N$71=0,0,IF(M23=0,$C23+'5 Estado de Fuentes y Usos'!M25,+M23+'5 Estado de Fuentes y Usos'!M25))</f>
        <v>0</v>
      </c>
      <c r="O23" s="714">
        <f>IF(O$71=0,0,IF(N23=0,$C23+'5 Estado de Fuentes y Usos'!N25,+N23+'5 Estado de Fuentes y Usos'!N25))</f>
        <v>0</v>
      </c>
      <c r="P23" s="796">
        <f>+O23</f>
        <v>0</v>
      </c>
      <c r="Q23" s="305">
        <f>IF(Q$71=0,0,IF(P23=0,$C23+'5 Estado de Fuentes y Usos'!P25,+P23+'5 Estado de Fuentes y Usos'!P25))</f>
        <v>3500000</v>
      </c>
      <c r="R23" s="714">
        <f>IF(R$71=0,0,IF(Q23=0,$C23+'5 Estado de Fuentes y Usos'!Q25,+Q23+'5 Estado de Fuentes y Usos'!Q25))</f>
        <v>3500000</v>
      </c>
      <c r="S23" s="714">
        <f>IF(S$71=0,0,IF(R23=0,$C23+'5 Estado de Fuentes y Usos'!R25,+R23+'5 Estado de Fuentes y Usos'!R25))</f>
        <v>3500000</v>
      </c>
      <c r="T23" s="714">
        <f>IF(T$71=0,0,IF(S23=0,$C23+'5 Estado de Fuentes y Usos'!S25,+S23+'5 Estado de Fuentes y Usos'!S25))</f>
        <v>3500000</v>
      </c>
      <c r="U23" s="714">
        <f>IF(U$71=0,0,IF(T23=0,$C23+'5 Estado de Fuentes y Usos'!T25,+T23+'5 Estado de Fuentes y Usos'!T25))</f>
        <v>3500000</v>
      </c>
      <c r="V23" s="714">
        <f>IF(V$71=0,0,IF(U23=0,$C23+'5 Estado de Fuentes y Usos'!U25,+U23+'5 Estado de Fuentes y Usos'!U25))</f>
        <v>3500000</v>
      </c>
      <c r="W23" s="714">
        <f>IF(W$71=0,0,IF(V23=0,$C23+'5 Estado de Fuentes y Usos'!V25,+V23+'5 Estado de Fuentes y Usos'!V25))</f>
        <v>3500000</v>
      </c>
      <c r="X23" s="714">
        <f>IF(X$71=0,0,IF(W23=0,$C23+'5 Estado de Fuentes y Usos'!W25,+W23+'5 Estado de Fuentes y Usos'!W25))</f>
        <v>3500000</v>
      </c>
      <c r="Y23" s="714">
        <f>IF(Y$71=0,0,IF(X23=0,$C23+'5 Estado de Fuentes y Usos'!X25,+X23+'5 Estado de Fuentes y Usos'!X25))</f>
        <v>3500000</v>
      </c>
      <c r="Z23" s="714">
        <f>IF(Z$71=0,0,IF(Y23=0,$C23+'5 Estado de Fuentes y Usos'!Y25,+Y23+'5 Estado de Fuentes y Usos'!Y25))</f>
        <v>3500000</v>
      </c>
      <c r="AA23" s="714">
        <f>IF(AA$71=0,0,IF(Z23=0,$C23+'5 Estado de Fuentes y Usos'!Z25,+Z23+'5 Estado de Fuentes y Usos'!Z25))</f>
        <v>3500000</v>
      </c>
      <c r="AB23" s="714">
        <f>IF(AB$71=0,0,IF(AA23=0,$C23+'5 Estado de Fuentes y Usos'!AA25,+AA23+'5 Estado de Fuentes y Usos'!AA25))</f>
        <v>3500000</v>
      </c>
      <c r="AC23" s="796">
        <f>+AB23</f>
        <v>3500000</v>
      </c>
      <c r="AD23" s="305">
        <f>+P23</f>
        <v>0</v>
      </c>
      <c r="AE23" s="714">
        <f>+AC23</f>
        <v>3500000</v>
      </c>
      <c r="AF23" s="714">
        <f>+AE23+'5 Estado de Fuentes y Usos'!AE25</f>
        <v>3500000</v>
      </c>
      <c r="AG23" s="714">
        <f>+AF23+'5 Estado de Fuentes y Usos'!AF25</f>
        <v>3500000</v>
      </c>
      <c r="AH23" s="714">
        <f>+AG23+'5 Estado de Fuentes y Usos'!AG25</f>
        <v>3500000</v>
      </c>
      <c r="AI23" s="714">
        <f>+AH23+'5 Estado de Fuentes y Usos'!AH25</f>
        <v>3500000</v>
      </c>
      <c r="AJ23" s="714">
        <f>+AI23+'5 Estado de Fuentes y Usos'!AI25</f>
        <v>3500000</v>
      </c>
      <c r="AK23" s="714">
        <f>+AJ23+'5 Estado de Fuentes y Usos'!AJ25</f>
        <v>3500000</v>
      </c>
      <c r="AL23" s="714">
        <f>+AK23+'5 Estado de Fuentes y Usos'!AK25</f>
        <v>3500000</v>
      </c>
      <c r="AM23" s="796">
        <f>+AL23+'5 Estado de Fuentes y Usos'!AL25</f>
        <v>3500000</v>
      </c>
    </row>
    <row r="24" spans="1:39" x14ac:dyDescent="0.2">
      <c r="A24" s="794"/>
      <c r="B24" s="691" t="s">
        <v>28</v>
      </c>
      <c r="C24" s="798">
        <f>+'5 Estado de Fuentes y Usos'!B26</f>
        <v>0</v>
      </c>
      <c r="D24" s="714">
        <f>IF(D$71=0,0,IF(C24=0,$C24+'5 Estado de Fuentes y Usos'!C26,+C24+'5 Estado de Fuentes y Usos'!C26))</f>
        <v>0</v>
      </c>
      <c r="E24" s="714">
        <f>IF(E$71=0,0,IF(D24=0,$C24+'5 Estado de Fuentes y Usos'!D26,+D24+'5 Estado de Fuentes y Usos'!D26))</f>
        <v>0</v>
      </c>
      <c r="F24" s="714">
        <f>IF(F$71=0,0,IF(E24=0,$C24+'5 Estado de Fuentes y Usos'!E26,+E24+'5 Estado de Fuentes y Usos'!E26))</f>
        <v>165000</v>
      </c>
      <c r="G24" s="714">
        <f>IF(G$71=0,0,IF(F24=0,$C24+'5 Estado de Fuentes y Usos'!F26,+F24+'5 Estado de Fuentes y Usos'!F26))</f>
        <v>165000</v>
      </c>
      <c r="H24" s="714">
        <f>IF(H$71=0,0,IF(G24=0,$C24+'5 Estado de Fuentes y Usos'!G26,+G24+'5 Estado de Fuentes y Usos'!G26))</f>
        <v>165000</v>
      </c>
      <c r="I24" s="714">
        <f>IF(I$71=0,0,IF(H24=0,$C24+'5 Estado de Fuentes y Usos'!H26,+H24+'5 Estado de Fuentes y Usos'!H26))</f>
        <v>165000</v>
      </c>
      <c r="J24" s="714">
        <f>IF(J$71=0,0,IF(I24=0,$C24+'5 Estado de Fuentes y Usos'!I26,+I24+'5 Estado de Fuentes y Usos'!I26))</f>
        <v>165000</v>
      </c>
      <c r="K24" s="714">
        <f>IF(K$71=0,0,IF(J24=0,$C24+'5 Estado de Fuentes y Usos'!J26,+J24+'5 Estado de Fuentes y Usos'!J26))</f>
        <v>165000</v>
      </c>
      <c r="L24" s="714">
        <f>IF(L$71=0,0,IF(K24=0,$C24+'5 Estado de Fuentes y Usos'!K26,+K24+'5 Estado de Fuentes y Usos'!K26))</f>
        <v>165000</v>
      </c>
      <c r="M24" s="714">
        <f>IF(M$71=0,0,IF(L24=0,$C24+'5 Estado de Fuentes y Usos'!L26,+L24+'5 Estado de Fuentes y Usos'!L26))</f>
        <v>165000</v>
      </c>
      <c r="N24" s="714">
        <f>IF(N$71=0,0,IF(M24=0,$C24+'5 Estado de Fuentes y Usos'!M26,+M24+'5 Estado de Fuentes y Usos'!M26))</f>
        <v>165000</v>
      </c>
      <c r="O24" s="714">
        <f>IF(O$71=0,0,IF(N24=0,$C24+'5 Estado de Fuentes y Usos'!N26,+N24+'5 Estado de Fuentes y Usos'!N26))</f>
        <v>165000</v>
      </c>
      <c r="P24" s="796">
        <f>+O24</f>
        <v>165000</v>
      </c>
      <c r="Q24" s="305">
        <f>IF(Q$71=0,0,IF(P24=0,$C24+'5 Estado de Fuentes y Usos'!P26,+P24+'5 Estado de Fuentes y Usos'!P26))</f>
        <v>165000</v>
      </c>
      <c r="R24" s="714">
        <f>IF(R$71=0,0,IF(Q24=0,$C24+'5 Estado de Fuentes y Usos'!Q26,+Q24+'5 Estado de Fuentes y Usos'!Q26))</f>
        <v>165000</v>
      </c>
      <c r="S24" s="714">
        <f>IF(S$71=0,0,IF(R24=0,$C24+'5 Estado de Fuentes y Usos'!R26,+R24+'5 Estado de Fuentes y Usos'!R26))</f>
        <v>165000</v>
      </c>
      <c r="T24" s="714">
        <f>IF(T$71=0,0,IF(S24=0,$C24+'5 Estado de Fuentes y Usos'!S26,+S24+'5 Estado de Fuentes y Usos'!S26))</f>
        <v>165000</v>
      </c>
      <c r="U24" s="714">
        <f>IF(U$71=0,0,IF(T24=0,$C24+'5 Estado de Fuentes y Usos'!T26,+T24+'5 Estado de Fuentes y Usos'!T26))</f>
        <v>165000</v>
      </c>
      <c r="V24" s="714">
        <f>IF(V$71=0,0,IF(U24=0,$C24+'5 Estado de Fuentes y Usos'!U26,+U24+'5 Estado de Fuentes y Usos'!U26))</f>
        <v>165000</v>
      </c>
      <c r="W24" s="714">
        <f>IF(W$71=0,0,IF(V24=0,$C24+'5 Estado de Fuentes y Usos'!V26,+V24+'5 Estado de Fuentes y Usos'!V26))</f>
        <v>165000</v>
      </c>
      <c r="X24" s="714">
        <f>IF(X$71=0,0,IF(W24=0,$C24+'5 Estado de Fuentes y Usos'!W26,+W24+'5 Estado de Fuentes y Usos'!W26))</f>
        <v>165000</v>
      </c>
      <c r="Y24" s="714">
        <f>IF(Y$71=0,0,IF(X24=0,$C24+'5 Estado de Fuentes y Usos'!X26,+X24+'5 Estado de Fuentes y Usos'!X26))</f>
        <v>165000</v>
      </c>
      <c r="Z24" s="714">
        <f>IF(Z$71=0,0,IF(Y24=0,$C24+'5 Estado de Fuentes y Usos'!Y26,+Y24+'5 Estado de Fuentes y Usos'!Y26))</f>
        <v>165000</v>
      </c>
      <c r="AA24" s="714">
        <f>IF(AA$71=0,0,IF(Z24=0,$C24+'5 Estado de Fuentes y Usos'!Z26,+Z24+'5 Estado de Fuentes y Usos'!Z26))</f>
        <v>165000</v>
      </c>
      <c r="AB24" s="714">
        <f>IF(AB$71=0,0,IF(AA24=0,$C24+'5 Estado de Fuentes y Usos'!AA26,+AA24+'5 Estado de Fuentes y Usos'!AA26))</f>
        <v>165000</v>
      </c>
      <c r="AC24" s="796">
        <f>+AB24</f>
        <v>165000</v>
      </c>
      <c r="AD24" s="305">
        <f>+P24</f>
        <v>165000</v>
      </c>
      <c r="AE24" s="714">
        <f>+AC24</f>
        <v>165000</v>
      </c>
      <c r="AF24" s="714">
        <f>+AE24+'5 Estado de Fuentes y Usos'!AE26</f>
        <v>215000</v>
      </c>
      <c r="AG24" s="714">
        <f>+AF24+'5 Estado de Fuentes y Usos'!AF26</f>
        <v>215000</v>
      </c>
      <c r="AH24" s="714">
        <f>+AG24+'5 Estado de Fuentes y Usos'!AG26</f>
        <v>215000</v>
      </c>
      <c r="AI24" s="714">
        <f>+AH24+'5 Estado de Fuentes y Usos'!AH26</f>
        <v>265000</v>
      </c>
      <c r="AJ24" s="714">
        <f>+AI24+'5 Estado de Fuentes y Usos'!AI26</f>
        <v>265000</v>
      </c>
      <c r="AK24" s="714">
        <f>+AJ24+'5 Estado de Fuentes y Usos'!AJ26</f>
        <v>280000</v>
      </c>
      <c r="AL24" s="714">
        <f>+AK24+'5 Estado de Fuentes y Usos'!AK26</f>
        <v>280000</v>
      </c>
      <c r="AM24" s="796">
        <f>+AL24+'5 Estado de Fuentes y Usos'!AL26</f>
        <v>330000</v>
      </c>
    </row>
    <row r="25" spans="1:39" x14ac:dyDescent="0.2">
      <c r="A25" s="794"/>
      <c r="B25" s="691" t="s">
        <v>297</v>
      </c>
      <c r="C25" s="798">
        <f>+'5 Estado de Fuentes y Usos'!B27</f>
        <v>14000</v>
      </c>
      <c r="D25" s="714">
        <f>IF(D$71=0,0,IF(C25=0,$C25+'5 Estado de Fuentes y Usos'!C27,+C25+'5 Estado de Fuentes y Usos'!C27))</f>
        <v>0</v>
      </c>
      <c r="E25" s="714">
        <f>IF(E$71=0,0,IF(D25=0,$C25+'5 Estado de Fuentes y Usos'!D27,+D25+'5 Estado de Fuentes y Usos'!D27))</f>
        <v>14000</v>
      </c>
      <c r="F25" s="714">
        <f>IF(F$71=0,0,IF(E25=0,$C25+'5 Estado de Fuentes y Usos'!E27,+E25+'5 Estado de Fuentes y Usos'!E27))</f>
        <v>404000</v>
      </c>
      <c r="G25" s="714">
        <f>IF(G$71=0,0,IF(F25=0,$C25+'5 Estado de Fuentes y Usos'!F27,+F25+'5 Estado de Fuentes y Usos'!F27))</f>
        <v>404000</v>
      </c>
      <c r="H25" s="714">
        <f>IF(H$71=0,0,IF(G25=0,$C25+'5 Estado de Fuentes y Usos'!G27,+G25+'5 Estado de Fuentes y Usos'!G27))</f>
        <v>404000</v>
      </c>
      <c r="I25" s="714">
        <f>IF(I$71=0,0,IF(H25=0,$C25+'5 Estado de Fuentes y Usos'!H27,+H25+'5 Estado de Fuentes y Usos'!H27))</f>
        <v>404000</v>
      </c>
      <c r="J25" s="714">
        <f>IF(J$71=0,0,IF(I25=0,$C25+'5 Estado de Fuentes y Usos'!I27,+I25+'5 Estado de Fuentes y Usos'!I27))</f>
        <v>404000</v>
      </c>
      <c r="K25" s="714">
        <f>IF(K$71=0,0,IF(J25=0,$C25+'5 Estado de Fuentes y Usos'!J27,+J25+'5 Estado de Fuentes y Usos'!J27))</f>
        <v>404000</v>
      </c>
      <c r="L25" s="714">
        <f>IF(L$71=0,0,IF(K25=0,$C25+'5 Estado de Fuentes y Usos'!K27,+K25+'5 Estado de Fuentes y Usos'!K27))</f>
        <v>404000</v>
      </c>
      <c r="M25" s="714">
        <f>IF(M$71=0,0,IF(L25=0,$C25+'5 Estado de Fuentes y Usos'!L27,+L25+'5 Estado de Fuentes y Usos'!L27))</f>
        <v>404000</v>
      </c>
      <c r="N25" s="714">
        <f>IF(N$71=0,0,IF(M25=0,$C25+'5 Estado de Fuentes y Usos'!M27,+M25+'5 Estado de Fuentes y Usos'!M27))</f>
        <v>404000</v>
      </c>
      <c r="O25" s="714">
        <f>IF(O$71=0,0,IF(N25=0,$C25+'5 Estado de Fuentes y Usos'!N27,+N25+'5 Estado de Fuentes y Usos'!N27))</f>
        <v>404000</v>
      </c>
      <c r="P25" s="796">
        <f>+O25</f>
        <v>404000</v>
      </c>
      <c r="Q25" s="305">
        <f>IF(Q$71=0,0,IF(P25=0,$C25+'5 Estado de Fuentes y Usos'!P27,+P25+'5 Estado de Fuentes y Usos'!P27))</f>
        <v>434000</v>
      </c>
      <c r="R25" s="714">
        <f>IF(R$71=0,0,IF(Q25=0,$C25+'5 Estado de Fuentes y Usos'!Q27,+Q25+'5 Estado de Fuentes y Usos'!Q27))</f>
        <v>434000</v>
      </c>
      <c r="S25" s="714">
        <f>IF(S$71=0,0,IF(R25=0,$C25+'5 Estado de Fuentes y Usos'!R27,+R25+'5 Estado de Fuentes y Usos'!R27))</f>
        <v>434000</v>
      </c>
      <c r="T25" s="714">
        <f>IF(T$71=0,0,IF(S25=0,$C25+'5 Estado de Fuentes y Usos'!S27,+S25+'5 Estado de Fuentes y Usos'!S27))</f>
        <v>434000</v>
      </c>
      <c r="U25" s="714">
        <f>IF(U$71=0,0,IF(T25=0,$C25+'5 Estado de Fuentes y Usos'!T27,+T25+'5 Estado de Fuentes y Usos'!T27))</f>
        <v>434000</v>
      </c>
      <c r="V25" s="714">
        <f>IF(V$71=0,0,IF(U25=0,$C25+'5 Estado de Fuentes y Usos'!U27,+U25+'5 Estado de Fuentes y Usos'!U27))</f>
        <v>434000</v>
      </c>
      <c r="W25" s="714">
        <f>IF(W$71=0,0,IF(V25=0,$C25+'5 Estado de Fuentes y Usos'!V27,+V25+'5 Estado de Fuentes y Usos'!V27))</f>
        <v>434000</v>
      </c>
      <c r="X25" s="714">
        <f>IF(X$71=0,0,IF(W25=0,$C25+'5 Estado de Fuentes y Usos'!W27,+W25+'5 Estado de Fuentes y Usos'!W27))</f>
        <v>434000</v>
      </c>
      <c r="Y25" s="714">
        <f>IF(Y$71=0,0,IF(X25=0,$C25+'5 Estado de Fuentes y Usos'!X27,+X25+'5 Estado de Fuentes y Usos'!X27))</f>
        <v>434000</v>
      </c>
      <c r="Z25" s="714">
        <f>IF(Z$71=0,0,IF(Y25=0,$C25+'5 Estado de Fuentes y Usos'!Y27,+Y25+'5 Estado de Fuentes y Usos'!Y27))</f>
        <v>434000</v>
      </c>
      <c r="AA25" s="714">
        <f>IF(AA$71=0,0,IF(Z25=0,$C25+'5 Estado de Fuentes y Usos'!Z27,+Z25+'5 Estado de Fuentes y Usos'!Z27))</f>
        <v>434000</v>
      </c>
      <c r="AB25" s="714">
        <f>IF(AB$71=0,0,IF(AA25=0,$C25+'5 Estado de Fuentes y Usos'!AA27,+AA25+'5 Estado de Fuentes y Usos'!AA27))</f>
        <v>434000</v>
      </c>
      <c r="AC25" s="796">
        <f>+AB25</f>
        <v>434000</v>
      </c>
      <c r="AD25" s="305">
        <f>+P25</f>
        <v>404000</v>
      </c>
      <c r="AE25" s="714">
        <f>+AC25</f>
        <v>434000</v>
      </c>
      <c r="AF25" s="714">
        <f>+AE25+'5 Estado de Fuentes y Usos'!AE27</f>
        <v>448000</v>
      </c>
      <c r="AG25" s="714">
        <f>+AF25+'5 Estado de Fuentes y Usos'!AF27</f>
        <v>818000</v>
      </c>
      <c r="AH25" s="714">
        <f>+AG25+'5 Estado de Fuentes y Usos'!AG27</f>
        <v>1013000</v>
      </c>
      <c r="AI25" s="714">
        <f>+AH25+'5 Estado de Fuentes y Usos'!AH27</f>
        <v>1057000</v>
      </c>
      <c r="AJ25" s="714">
        <f>+AI25+'5 Estado de Fuentes y Usos'!AI27</f>
        <v>1397000</v>
      </c>
      <c r="AK25" s="714">
        <f>+AJ25+'5 Estado de Fuentes y Usos'!AJ27</f>
        <v>1427000</v>
      </c>
      <c r="AL25" s="714">
        <f>+AK25+'5 Estado de Fuentes y Usos'!AK27</f>
        <v>1441000</v>
      </c>
      <c r="AM25" s="796">
        <f>+AL25+'5 Estado de Fuentes y Usos'!AL27</f>
        <v>1976000</v>
      </c>
    </row>
    <row r="26" spans="1:39" x14ac:dyDescent="0.2">
      <c r="A26" s="794"/>
      <c r="B26" s="691" t="s">
        <v>11</v>
      </c>
      <c r="C26" s="798">
        <f>+'5 Estado de Fuentes y Usos'!B28</f>
        <v>290000</v>
      </c>
      <c r="D26" s="714">
        <f>IF(D$71=0,0,IF(C26=0,$C26+'5 Estado de Fuentes y Usos'!C28,+C26+'5 Estado de Fuentes y Usos'!C28))</f>
        <v>0</v>
      </c>
      <c r="E26" s="714">
        <f>IF(E$71=0,0,IF(D26=0,$C26+'5 Estado de Fuentes y Usos'!D28,+D26+'5 Estado de Fuentes y Usos'!D28))</f>
        <v>290000</v>
      </c>
      <c r="F26" s="714">
        <f>IF(F$71=0,0,IF(E26=0,$C26+'5 Estado de Fuentes y Usos'!E28,+E26+'5 Estado de Fuentes y Usos'!E28))</f>
        <v>465000</v>
      </c>
      <c r="G26" s="714">
        <f>IF(G$71=0,0,IF(F26=0,$C26+'5 Estado de Fuentes y Usos'!F28,+F26+'5 Estado de Fuentes y Usos'!F28))</f>
        <v>465000</v>
      </c>
      <c r="H26" s="714">
        <f>IF(H$71=0,0,IF(G26=0,$C26+'5 Estado de Fuentes y Usos'!G28,+G26+'5 Estado de Fuentes y Usos'!G28))</f>
        <v>465000</v>
      </c>
      <c r="I26" s="714">
        <f>IF(I$71=0,0,IF(H26=0,$C26+'5 Estado de Fuentes y Usos'!H28,+H26+'5 Estado de Fuentes y Usos'!H28))</f>
        <v>465000</v>
      </c>
      <c r="J26" s="714">
        <f>IF(J$71=0,0,IF(I26=0,$C26+'5 Estado de Fuentes y Usos'!I28,+I26+'5 Estado de Fuentes y Usos'!I28))</f>
        <v>465000</v>
      </c>
      <c r="K26" s="714">
        <f>IF(K$71=0,0,IF(J26=0,$C26+'5 Estado de Fuentes y Usos'!J28,+J26+'5 Estado de Fuentes y Usos'!J28))</f>
        <v>465000</v>
      </c>
      <c r="L26" s="714">
        <f>IF(L$71=0,0,IF(K26=0,$C26+'5 Estado de Fuentes y Usos'!K28,+K26+'5 Estado de Fuentes y Usos'!K28))</f>
        <v>465000</v>
      </c>
      <c r="M26" s="714">
        <f>IF(M$71=0,0,IF(L26=0,$C26+'5 Estado de Fuentes y Usos'!L28,+L26+'5 Estado de Fuentes y Usos'!L28))</f>
        <v>465000</v>
      </c>
      <c r="N26" s="714">
        <f>IF(N$71=0,0,IF(M26=0,$C26+'5 Estado de Fuentes y Usos'!M28,+M26+'5 Estado de Fuentes y Usos'!M28))</f>
        <v>465000</v>
      </c>
      <c r="O26" s="714">
        <f>IF(O$71=0,0,IF(N26=0,$C26+'5 Estado de Fuentes y Usos'!N28,+N26+'5 Estado de Fuentes y Usos'!N28))</f>
        <v>465000</v>
      </c>
      <c r="P26" s="796">
        <f>+O26</f>
        <v>465000</v>
      </c>
      <c r="Q26" s="305">
        <f>IF(Q$71=0,0,IF(P26=0,$C26+'5 Estado de Fuentes y Usos'!P28,+P26+'5 Estado de Fuentes y Usos'!P28))</f>
        <v>465000</v>
      </c>
      <c r="R26" s="714">
        <f>IF(R$71=0,0,IF(Q26=0,$C26+'5 Estado de Fuentes y Usos'!Q28,+Q26+'5 Estado de Fuentes y Usos'!Q28))</f>
        <v>465000</v>
      </c>
      <c r="S26" s="714">
        <f>IF(S$71=0,0,IF(R26=0,$C26+'5 Estado de Fuentes y Usos'!R28,+R26+'5 Estado de Fuentes y Usos'!R28))</f>
        <v>465000</v>
      </c>
      <c r="T26" s="714">
        <f>IF(T$71=0,0,IF(S26=0,$C26+'5 Estado de Fuentes y Usos'!S28,+S26+'5 Estado de Fuentes y Usos'!S28))</f>
        <v>465000</v>
      </c>
      <c r="U26" s="714">
        <f>IF(U$71=0,0,IF(T26=0,$C26+'5 Estado de Fuentes y Usos'!T28,+T26+'5 Estado de Fuentes y Usos'!T28))</f>
        <v>465000</v>
      </c>
      <c r="V26" s="714">
        <f>IF(V$71=0,0,IF(U26=0,$C26+'5 Estado de Fuentes y Usos'!U28,+U26+'5 Estado de Fuentes y Usos'!U28))</f>
        <v>465000</v>
      </c>
      <c r="W26" s="714">
        <f>IF(W$71=0,0,IF(V26=0,$C26+'5 Estado de Fuentes y Usos'!V28,+V26+'5 Estado de Fuentes y Usos'!V28))</f>
        <v>465000</v>
      </c>
      <c r="X26" s="714">
        <f>IF(X$71=0,0,IF(W26=0,$C26+'5 Estado de Fuentes y Usos'!W28,+W26+'5 Estado de Fuentes y Usos'!W28))</f>
        <v>465000</v>
      </c>
      <c r="Y26" s="714">
        <f>IF(Y$71=0,0,IF(X26=0,$C26+'5 Estado de Fuentes y Usos'!X28,+X26+'5 Estado de Fuentes y Usos'!X28))</f>
        <v>465000</v>
      </c>
      <c r="Z26" s="714">
        <f>IF(Z$71=0,0,IF(Y26=0,$C26+'5 Estado de Fuentes y Usos'!Y28,+Y26+'5 Estado de Fuentes y Usos'!Y28))</f>
        <v>465000</v>
      </c>
      <c r="AA26" s="714">
        <f>IF(AA$71=0,0,IF(Z26=0,$C26+'5 Estado de Fuentes y Usos'!Z28,+Z26+'5 Estado de Fuentes y Usos'!Z28))</f>
        <v>465000</v>
      </c>
      <c r="AB26" s="714">
        <f>IF(AB$71=0,0,IF(AA26=0,$C26+'5 Estado de Fuentes y Usos'!AA28,+AA26+'5 Estado de Fuentes y Usos'!AA28))</f>
        <v>645000</v>
      </c>
      <c r="AC26" s="796">
        <f>+AB26</f>
        <v>645000</v>
      </c>
      <c r="AD26" s="305">
        <f>+P26</f>
        <v>465000</v>
      </c>
      <c r="AE26" s="714">
        <f>+AC26</f>
        <v>645000</v>
      </c>
      <c r="AF26" s="714">
        <f>+AE26+'5 Estado de Fuentes y Usos'!AE28</f>
        <v>785000</v>
      </c>
      <c r="AG26" s="714">
        <f>+AF26+'5 Estado de Fuentes y Usos'!AF28</f>
        <v>785000</v>
      </c>
      <c r="AH26" s="714">
        <f>+AG26+'5 Estado de Fuentes y Usos'!AG28</f>
        <v>1005000</v>
      </c>
      <c r="AI26" s="714">
        <f>+AH26+'5 Estado de Fuentes y Usos'!AH28</f>
        <v>1005000</v>
      </c>
      <c r="AJ26" s="714">
        <f>+AI26+'5 Estado de Fuentes y Usos'!AI28</f>
        <v>1145000</v>
      </c>
      <c r="AK26" s="714">
        <f>+AJ26+'5 Estado de Fuentes y Usos'!AJ28</f>
        <v>1445000</v>
      </c>
      <c r="AL26" s="714">
        <f>+AK26+'5 Estado de Fuentes y Usos'!AK28</f>
        <v>1445000</v>
      </c>
      <c r="AM26" s="796">
        <f>+AL26+'5 Estado de Fuentes y Usos'!AL28</f>
        <v>1445000</v>
      </c>
    </row>
    <row r="27" spans="1:39" x14ac:dyDescent="0.2">
      <c r="A27" s="794"/>
      <c r="B27" s="691" t="s">
        <v>109</v>
      </c>
      <c r="C27" s="798"/>
      <c r="D27" s="714">
        <f>-D87</f>
        <v>0</v>
      </c>
      <c r="E27" s="714">
        <f t="shared" ref="E27:AM27" si="7">-E87</f>
        <v>0</v>
      </c>
      <c r="F27" s="714">
        <f t="shared" si="7"/>
        <v>-20680</v>
      </c>
      <c r="G27" s="714">
        <f t="shared" si="7"/>
        <v>-41360</v>
      </c>
      <c r="H27" s="714">
        <f t="shared" si="7"/>
        <v>-62040</v>
      </c>
      <c r="I27" s="714">
        <f t="shared" si="7"/>
        <v>-82720</v>
      </c>
      <c r="J27" s="714">
        <f t="shared" si="7"/>
        <v>-103400</v>
      </c>
      <c r="K27" s="714">
        <f t="shared" si="7"/>
        <v>-124080</v>
      </c>
      <c r="L27" s="714">
        <f t="shared" si="7"/>
        <v>-144760</v>
      </c>
      <c r="M27" s="714">
        <f t="shared" si="7"/>
        <v>-165440</v>
      </c>
      <c r="N27" s="714">
        <f t="shared" si="7"/>
        <v>-186120</v>
      </c>
      <c r="O27" s="714">
        <f t="shared" si="7"/>
        <v>-206800</v>
      </c>
      <c r="P27" s="714">
        <f t="shared" si="7"/>
        <v>-206800</v>
      </c>
      <c r="Q27" s="714">
        <f t="shared" si="7"/>
        <v>-242116.66666666666</v>
      </c>
      <c r="R27" s="714">
        <f t="shared" si="7"/>
        <v>-277433.33333333331</v>
      </c>
      <c r="S27" s="714">
        <f t="shared" si="7"/>
        <v>-312750</v>
      </c>
      <c r="T27" s="714">
        <f t="shared" si="7"/>
        <v>-348066.66666666669</v>
      </c>
      <c r="U27" s="714">
        <f t="shared" si="7"/>
        <v>-383383.33333333337</v>
      </c>
      <c r="V27" s="714">
        <f t="shared" si="7"/>
        <v>-418700.00000000006</v>
      </c>
      <c r="W27" s="714">
        <f t="shared" si="7"/>
        <v>-454016.66666666674</v>
      </c>
      <c r="X27" s="714">
        <f t="shared" si="7"/>
        <v>-489333.33333333343</v>
      </c>
      <c r="Y27" s="714">
        <f t="shared" si="7"/>
        <v>-524650.00000000012</v>
      </c>
      <c r="Z27" s="714">
        <f t="shared" si="7"/>
        <v>-559966.66666666674</v>
      </c>
      <c r="AA27" s="714">
        <f t="shared" si="7"/>
        <v>-595283.33333333337</v>
      </c>
      <c r="AB27" s="714">
        <f t="shared" si="7"/>
        <v>-630600</v>
      </c>
      <c r="AC27" s="714">
        <f t="shared" si="7"/>
        <v>-630600</v>
      </c>
      <c r="AD27" s="714">
        <f t="shared" si="7"/>
        <v>-206800</v>
      </c>
      <c r="AE27" s="714">
        <f t="shared" si="7"/>
        <v>-630600</v>
      </c>
      <c r="AF27" s="714">
        <f t="shared" si="7"/>
        <v>-1095200</v>
      </c>
      <c r="AG27" s="714">
        <f t="shared" si="7"/>
        <v>-1633800</v>
      </c>
      <c r="AH27" s="714">
        <f t="shared" si="7"/>
        <v>-2255400</v>
      </c>
      <c r="AI27" s="714">
        <f t="shared" si="7"/>
        <v>-2689000</v>
      </c>
      <c r="AJ27" s="714">
        <f t="shared" si="7"/>
        <v>-3176600</v>
      </c>
      <c r="AK27" s="714">
        <f t="shared" si="7"/>
        <v>-3692400</v>
      </c>
      <c r="AL27" s="714">
        <f t="shared" si="7"/>
        <v>-4137000</v>
      </c>
      <c r="AM27" s="714">
        <f t="shared" si="7"/>
        <v>-4615600</v>
      </c>
    </row>
    <row r="28" spans="1:39" ht="13.5" thickBot="1" x14ac:dyDescent="0.25">
      <c r="A28" s="1511" t="s">
        <v>29</v>
      </c>
      <c r="B28" s="1512"/>
      <c r="C28" s="808">
        <f t="shared" ref="C28:AM28" si="8">SUM(C22:C27)</f>
        <v>1174000</v>
      </c>
      <c r="D28" s="809">
        <f t="shared" si="8"/>
        <v>0</v>
      </c>
      <c r="E28" s="803">
        <f t="shared" si="8"/>
        <v>1174000</v>
      </c>
      <c r="F28" s="803">
        <f t="shared" si="8"/>
        <v>1883320</v>
      </c>
      <c r="G28" s="803">
        <f t="shared" si="8"/>
        <v>1862640</v>
      </c>
      <c r="H28" s="803">
        <f t="shared" si="8"/>
        <v>1841960</v>
      </c>
      <c r="I28" s="803">
        <f t="shared" si="8"/>
        <v>1821280</v>
      </c>
      <c r="J28" s="803">
        <f t="shared" si="8"/>
        <v>1800600</v>
      </c>
      <c r="K28" s="803">
        <f t="shared" si="8"/>
        <v>1779920</v>
      </c>
      <c r="L28" s="803">
        <f t="shared" si="8"/>
        <v>1759240</v>
      </c>
      <c r="M28" s="803">
        <f t="shared" si="8"/>
        <v>1738560</v>
      </c>
      <c r="N28" s="803">
        <f t="shared" si="8"/>
        <v>1717880</v>
      </c>
      <c r="O28" s="803">
        <f t="shared" si="8"/>
        <v>1697200</v>
      </c>
      <c r="P28" s="804">
        <f t="shared" si="8"/>
        <v>1697200</v>
      </c>
      <c r="Q28" s="802">
        <f t="shared" si="8"/>
        <v>5191883.333333333</v>
      </c>
      <c r="R28" s="803">
        <f t="shared" si="8"/>
        <v>5156566.666666667</v>
      </c>
      <c r="S28" s="803">
        <f t="shared" si="8"/>
        <v>5121250</v>
      </c>
      <c r="T28" s="803">
        <f t="shared" si="8"/>
        <v>5085933.333333333</v>
      </c>
      <c r="U28" s="803">
        <f t="shared" si="8"/>
        <v>5050616.666666667</v>
      </c>
      <c r="V28" s="803">
        <f t="shared" si="8"/>
        <v>5015300</v>
      </c>
      <c r="W28" s="803">
        <f t="shared" si="8"/>
        <v>4979983.333333333</v>
      </c>
      <c r="X28" s="803">
        <f t="shared" si="8"/>
        <v>4944666.666666667</v>
      </c>
      <c r="Y28" s="803">
        <f t="shared" si="8"/>
        <v>4909350</v>
      </c>
      <c r="Z28" s="803">
        <f t="shared" si="8"/>
        <v>4874033.333333333</v>
      </c>
      <c r="AA28" s="803">
        <f t="shared" si="8"/>
        <v>4838716.666666667</v>
      </c>
      <c r="AB28" s="803">
        <f t="shared" si="8"/>
        <v>4983400</v>
      </c>
      <c r="AC28" s="804">
        <f t="shared" si="8"/>
        <v>4983400</v>
      </c>
      <c r="AD28" s="802">
        <f t="shared" si="8"/>
        <v>1697200</v>
      </c>
      <c r="AE28" s="803">
        <f t="shared" si="8"/>
        <v>4983400</v>
      </c>
      <c r="AF28" s="803">
        <f t="shared" si="8"/>
        <v>4722800</v>
      </c>
      <c r="AG28" s="803">
        <f t="shared" si="8"/>
        <v>4554200</v>
      </c>
      <c r="AH28" s="803">
        <f t="shared" si="8"/>
        <v>4347600</v>
      </c>
      <c r="AI28" s="803">
        <f t="shared" si="8"/>
        <v>4008000</v>
      </c>
      <c r="AJ28" s="803">
        <f t="shared" si="8"/>
        <v>4000400</v>
      </c>
      <c r="AK28" s="803">
        <f t="shared" si="8"/>
        <v>3829600</v>
      </c>
      <c r="AL28" s="803">
        <f t="shared" si="8"/>
        <v>3399000</v>
      </c>
      <c r="AM28" s="804">
        <f t="shared" si="8"/>
        <v>3505400</v>
      </c>
    </row>
    <row r="29" spans="1:39" ht="13.5" thickBot="1" x14ac:dyDescent="0.25">
      <c r="A29" s="810"/>
      <c r="B29" s="811"/>
      <c r="C29" s="812"/>
      <c r="D29" s="805"/>
      <c r="E29" s="806"/>
      <c r="F29" s="806"/>
      <c r="G29" s="806"/>
      <c r="H29" s="806"/>
      <c r="I29" s="806"/>
      <c r="J29" s="806"/>
      <c r="K29" s="806"/>
      <c r="L29" s="806"/>
      <c r="M29" s="806"/>
      <c r="N29" s="806"/>
      <c r="O29" s="806"/>
      <c r="P29" s="807"/>
      <c r="Q29" s="805"/>
      <c r="R29" s="806"/>
      <c r="S29" s="806"/>
      <c r="T29" s="806"/>
      <c r="U29" s="806"/>
      <c r="V29" s="806"/>
      <c r="W29" s="806"/>
      <c r="X29" s="806"/>
      <c r="Y29" s="806"/>
      <c r="Z29" s="806"/>
      <c r="AA29" s="806"/>
      <c r="AB29" s="806"/>
      <c r="AC29" s="807"/>
      <c r="AD29" s="805"/>
      <c r="AE29" s="806"/>
      <c r="AF29" s="806"/>
      <c r="AG29" s="806"/>
      <c r="AH29" s="806"/>
      <c r="AI29" s="806"/>
      <c r="AJ29" s="806"/>
      <c r="AK29" s="806"/>
      <c r="AL29" s="806"/>
      <c r="AM29" s="807"/>
    </row>
    <row r="30" spans="1:39" x14ac:dyDescent="0.2">
      <c r="A30" s="1516" t="s">
        <v>30</v>
      </c>
      <c r="B30" s="1517"/>
      <c r="C30" s="1518"/>
      <c r="D30" s="1521" t="str">
        <f>+A30</f>
        <v>Activo diferido:</v>
      </c>
      <c r="E30" s="1521"/>
      <c r="F30" s="1521"/>
      <c r="G30" s="1521"/>
      <c r="H30" s="1521"/>
      <c r="I30" s="1521"/>
      <c r="J30" s="1521"/>
      <c r="K30" s="1521"/>
      <c r="L30" s="1521"/>
      <c r="M30" s="1521"/>
      <c r="N30" s="1521"/>
      <c r="O30" s="1521"/>
      <c r="P30" s="1522"/>
      <c r="Q30" s="1523" t="str">
        <f>+D30</f>
        <v>Activo diferido:</v>
      </c>
      <c r="R30" s="1521"/>
      <c r="S30" s="1521"/>
      <c r="T30" s="1521"/>
      <c r="U30" s="1521"/>
      <c r="V30" s="1521"/>
      <c r="W30" s="1521"/>
      <c r="X30" s="1521"/>
      <c r="Y30" s="1521"/>
      <c r="Z30" s="1521"/>
      <c r="AA30" s="1521"/>
      <c r="AB30" s="1521"/>
      <c r="AC30" s="1522"/>
      <c r="AD30" s="1546" t="str">
        <f>+Q30</f>
        <v>Activo diferido:</v>
      </c>
      <c r="AE30" s="1547"/>
      <c r="AF30" s="1547"/>
      <c r="AG30" s="1547"/>
      <c r="AH30" s="1547"/>
      <c r="AI30" s="1547"/>
      <c r="AJ30" s="1547"/>
      <c r="AK30" s="1547"/>
      <c r="AL30" s="1547"/>
      <c r="AM30" s="1548"/>
    </row>
    <row r="31" spans="1:39" x14ac:dyDescent="0.2">
      <c r="A31" s="794"/>
      <c r="B31" s="691" t="s">
        <v>3</v>
      </c>
      <c r="C31" s="798">
        <f>+'7 Balance Inicial'!B28</f>
        <v>150000</v>
      </c>
      <c r="D31" s="691">
        <f>IF(D$71=0,0,IF(C31=0,$C31+'5 Estado de Fuentes y Usos'!C29,+C31+'5 Estado de Fuentes y Usos'!C29))</f>
        <v>0</v>
      </c>
      <c r="E31" s="714">
        <f>IF(E$71=0,0,IF(D31=0,$C31+'5 Estado de Fuentes y Usos'!D29,+D31+'5 Estado de Fuentes y Usos'!D29))</f>
        <v>150000</v>
      </c>
      <c r="F31" s="714">
        <f>IF(F$71=0,0,IF(E31=0,$C31+'5 Estado de Fuentes y Usos'!E29,+E31+'5 Estado de Fuentes y Usos'!E29))</f>
        <v>150000</v>
      </c>
      <c r="G31" s="714">
        <f>IF(G$71=0,0,IF(F31=0,$C31+'5 Estado de Fuentes y Usos'!F29,+F31+'5 Estado de Fuentes y Usos'!F29))</f>
        <v>150000</v>
      </c>
      <c r="H31" s="714">
        <f>IF(H$71=0,0,IF(G31=0,$C31+'5 Estado de Fuentes y Usos'!G29,+G31+'5 Estado de Fuentes y Usos'!G29))</f>
        <v>150000</v>
      </c>
      <c r="I31" s="714">
        <f>IF(I$71=0,0,IF(H31=0,$C31+'5 Estado de Fuentes y Usos'!H29,+H31+'5 Estado de Fuentes y Usos'!H29))</f>
        <v>150000</v>
      </c>
      <c r="J31" s="714">
        <f>IF(J$71=0,0,IF(I31=0,$C31+'5 Estado de Fuentes y Usos'!I29,+I31+'5 Estado de Fuentes y Usos'!I29))</f>
        <v>150000</v>
      </c>
      <c r="K31" s="714">
        <f>IF(K$71=0,0,IF(J31=0,$C31+'5 Estado de Fuentes y Usos'!J29,+J31+'5 Estado de Fuentes y Usos'!J29))</f>
        <v>150000</v>
      </c>
      <c r="L31" s="714">
        <f>IF(L$71=0,0,IF(K31=0,$C31+'5 Estado de Fuentes y Usos'!K29,+K31+'5 Estado de Fuentes y Usos'!K29))</f>
        <v>150000</v>
      </c>
      <c r="M31" s="714">
        <f>IF(M$71=0,0,IF(L31=0,$C31+'5 Estado de Fuentes y Usos'!L29,+L31+'5 Estado de Fuentes y Usos'!L29))</f>
        <v>150000</v>
      </c>
      <c r="N31" s="714">
        <f>IF(N$71=0,0,IF(M31=0,$C31+'5 Estado de Fuentes y Usos'!M29,+M31+'5 Estado de Fuentes y Usos'!M29))</f>
        <v>150000</v>
      </c>
      <c r="O31" s="714">
        <f>IF(O$71=0,0,IF(N31=0,$C31+'5 Estado de Fuentes y Usos'!N29,+N31+'5 Estado de Fuentes y Usos'!N29))</f>
        <v>150000</v>
      </c>
      <c r="P31" s="813">
        <f>+O31</f>
        <v>150000</v>
      </c>
      <c r="Q31" s="305">
        <f>IF(Q$71=0,0,IF(P31=0,$C31+'5 Estado de Fuentes y Usos'!P29,+P31+'5 Estado de Fuentes y Usos'!P29))</f>
        <v>150000</v>
      </c>
      <c r="R31" s="714">
        <f>IF(R$71=0,0,IF(Q31=0,$C31+'5 Estado de Fuentes y Usos'!Q29,+Q31+'5 Estado de Fuentes y Usos'!Q29))</f>
        <v>150000</v>
      </c>
      <c r="S31" s="714">
        <f>IF(S$71=0,0,IF(R31=0,$C31+'5 Estado de Fuentes y Usos'!R29,+R31+'5 Estado de Fuentes y Usos'!R29))</f>
        <v>150000</v>
      </c>
      <c r="T31" s="714">
        <f>IF(T$71=0,0,IF(S31=0,$C31+'5 Estado de Fuentes y Usos'!S29,+S31+'5 Estado de Fuentes y Usos'!S29))</f>
        <v>150000</v>
      </c>
      <c r="U31" s="714">
        <f>IF(U$71=0,0,IF(T31=0,$C31+'5 Estado de Fuentes y Usos'!T29,+T31+'5 Estado de Fuentes y Usos'!T29))</f>
        <v>150000</v>
      </c>
      <c r="V31" s="714">
        <f>IF(V$71=0,0,IF(U31=0,$C31+'5 Estado de Fuentes y Usos'!U29,+U31+'5 Estado de Fuentes y Usos'!U29))</f>
        <v>150000</v>
      </c>
      <c r="W31" s="714">
        <f>IF(W$71=0,0,IF(V31=0,$C31+'5 Estado de Fuentes y Usos'!V29,+V31+'5 Estado de Fuentes y Usos'!V29))</f>
        <v>150000</v>
      </c>
      <c r="X31" s="714">
        <f>IF(X$71=0,0,IF(W31=0,$C31+'5 Estado de Fuentes y Usos'!W29,+W31+'5 Estado de Fuentes y Usos'!W29))</f>
        <v>150000</v>
      </c>
      <c r="Y31" s="714">
        <f>IF(Y$71=0,0,IF(X31=0,$C31+'5 Estado de Fuentes y Usos'!X29,+X31+'5 Estado de Fuentes y Usos'!X29))</f>
        <v>150000</v>
      </c>
      <c r="Z31" s="714">
        <f>IF(Z$71=0,0,IF(Y31=0,$C31+'5 Estado de Fuentes y Usos'!Y29,+Y31+'5 Estado de Fuentes y Usos'!Y29))</f>
        <v>150000</v>
      </c>
      <c r="AA31" s="714">
        <f>IF(AA$71=0,0,IF(Z31=0,$C31+'5 Estado de Fuentes y Usos'!Z29,+Z31+'5 Estado de Fuentes y Usos'!Z29))</f>
        <v>150000</v>
      </c>
      <c r="AB31" s="714">
        <f>IF(AB$71=0,0,IF(AA31=0,$C31+'5 Estado de Fuentes y Usos'!AA29,+AA31+'5 Estado de Fuentes y Usos'!AA29))</f>
        <v>150000</v>
      </c>
      <c r="AC31" s="813">
        <f>+AB31</f>
        <v>150000</v>
      </c>
      <c r="AD31" s="305">
        <f>+P31</f>
        <v>150000</v>
      </c>
      <c r="AE31" s="714">
        <f>+AC31</f>
        <v>150000</v>
      </c>
      <c r="AF31" s="714">
        <f>+AE31+'5 Estado de Fuentes y Usos'!AE29</f>
        <v>150000</v>
      </c>
      <c r="AG31" s="714">
        <f>+AF31+'5 Estado de Fuentes y Usos'!AF29</f>
        <v>150000</v>
      </c>
      <c r="AH31" s="714">
        <f>+AG31+'5 Estado de Fuentes y Usos'!AG29</f>
        <v>150000</v>
      </c>
      <c r="AI31" s="714">
        <f>+AH31+'5 Estado de Fuentes y Usos'!AH29</f>
        <v>150000</v>
      </c>
      <c r="AJ31" s="714">
        <f>+AI31+'5 Estado de Fuentes y Usos'!AI29</f>
        <v>150000</v>
      </c>
      <c r="AK31" s="714">
        <f>+AJ31+'5 Estado de Fuentes y Usos'!AJ29</f>
        <v>150000</v>
      </c>
      <c r="AL31" s="714">
        <f>+AK31+'5 Estado de Fuentes y Usos'!AK29</f>
        <v>150000</v>
      </c>
      <c r="AM31" s="796">
        <f>+AL31+'5 Estado de Fuentes y Usos'!AL29</f>
        <v>150000</v>
      </c>
    </row>
    <row r="32" spans="1:39" x14ac:dyDescent="0.2">
      <c r="A32" s="794"/>
      <c r="B32" s="691" t="s">
        <v>12</v>
      </c>
      <c r="C32" s="798">
        <f>+'7 Balance Inicial'!B30</f>
        <v>0</v>
      </c>
      <c r="D32" s="691">
        <f>IF(D$71=0,0,IF(C32=0,$C32+'5 Estado de Fuentes y Usos'!C30,+C32+'5 Estado de Fuentes y Usos'!C30))</f>
        <v>0</v>
      </c>
      <c r="E32" s="714">
        <f>IF(E$71=0,0,IF(D32=0,$C32+'5 Estado de Fuentes y Usos'!D30,+D32+'5 Estado de Fuentes y Usos'!D30))</f>
        <v>0</v>
      </c>
      <c r="F32" s="714">
        <f>IF(F$71=0,0,IF(E32=0,$C32+'5 Estado de Fuentes y Usos'!E30,+E32+'5 Estado de Fuentes y Usos'!E30))</f>
        <v>0</v>
      </c>
      <c r="G32" s="714">
        <f>IF(G$71=0,0,IF(F32=0,$C32+'5 Estado de Fuentes y Usos'!F30,+F32+'5 Estado de Fuentes y Usos'!F30))</f>
        <v>0</v>
      </c>
      <c r="H32" s="714">
        <f>IF(H$71=0,0,IF(G32=0,$C32+'5 Estado de Fuentes y Usos'!G30,+G32+'5 Estado de Fuentes y Usos'!G30))</f>
        <v>0</v>
      </c>
      <c r="I32" s="714">
        <f>IF(I$71=0,0,IF(H32=0,$C32+'5 Estado de Fuentes y Usos'!H30,+H32+'5 Estado de Fuentes y Usos'!H30))</f>
        <v>0</v>
      </c>
      <c r="J32" s="714">
        <f>IF(J$71=0,0,IF(I32=0,$C32+'5 Estado de Fuentes y Usos'!I30,+I32+'5 Estado de Fuentes y Usos'!I30))</f>
        <v>0</v>
      </c>
      <c r="K32" s="714">
        <f>IF(K$71=0,0,IF(J32=0,$C32+'5 Estado de Fuentes y Usos'!J30,+J32+'5 Estado de Fuentes y Usos'!J30))</f>
        <v>0</v>
      </c>
      <c r="L32" s="714">
        <f>IF(L$71=0,0,IF(K32=0,$C32+'5 Estado de Fuentes y Usos'!K30,+K32+'5 Estado de Fuentes y Usos'!K30))</f>
        <v>0</v>
      </c>
      <c r="M32" s="714">
        <f>IF(M$71=0,0,IF(L32=0,$C32+'5 Estado de Fuentes y Usos'!L30,+L32+'5 Estado de Fuentes y Usos'!L30))</f>
        <v>0</v>
      </c>
      <c r="N32" s="714">
        <f>IF(N$71=0,0,IF(M32=0,$C32+'5 Estado de Fuentes y Usos'!M30,+M32+'5 Estado de Fuentes y Usos'!M30))</f>
        <v>0</v>
      </c>
      <c r="O32" s="714">
        <f>IF(O$71=0,0,IF(N32=0,$C32+'5 Estado de Fuentes y Usos'!N30,+N32+'5 Estado de Fuentes y Usos'!N30))</f>
        <v>50000</v>
      </c>
      <c r="P32" s="796">
        <f>+O32</f>
        <v>50000</v>
      </c>
      <c r="Q32" s="305">
        <f>IF(Q$71=0,0,IF(P32=0,$C32+'5 Estado de Fuentes y Usos'!P30,+P32+'5 Estado de Fuentes y Usos'!P30))</f>
        <v>50000</v>
      </c>
      <c r="R32" s="714">
        <f>IF(R$71=0,0,IF(Q32=0,$C32+'5 Estado de Fuentes y Usos'!Q30,+Q32+'5 Estado de Fuentes y Usos'!Q30))</f>
        <v>50000</v>
      </c>
      <c r="S32" s="714">
        <f>IF(S$71=0,0,IF(R32=0,$C32+'5 Estado de Fuentes y Usos'!R30,+R32+'5 Estado de Fuentes y Usos'!R30))</f>
        <v>50000</v>
      </c>
      <c r="T32" s="714">
        <f>IF(T$71=0,0,IF(S32=0,$C32+'5 Estado de Fuentes y Usos'!S30,+S32+'5 Estado de Fuentes y Usos'!S30))</f>
        <v>50000</v>
      </c>
      <c r="U32" s="714">
        <f>IF(U$71=0,0,IF(T32=0,$C32+'5 Estado de Fuentes y Usos'!T30,+T32+'5 Estado de Fuentes y Usos'!T30))</f>
        <v>50000</v>
      </c>
      <c r="V32" s="714">
        <f>IF(V$71=0,0,IF(U32=0,$C32+'5 Estado de Fuentes y Usos'!U30,+U32+'5 Estado de Fuentes y Usos'!U30))</f>
        <v>50000</v>
      </c>
      <c r="W32" s="714">
        <f>IF(W$71=0,0,IF(V32=0,$C32+'5 Estado de Fuentes y Usos'!V30,+V32+'5 Estado de Fuentes y Usos'!V30))</f>
        <v>50000</v>
      </c>
      <c r="X32" s="714">
        <f>IF(X$71=0,0,IF(W32=0,$C32+'5 Estado de Fuentes y Usos'!W30,+W32+'5 Estado de Fuentes y Usos'!W30))</f>
        <v>50000</v>
      </c>
      <c r="Y32" s="714">
        <f>IF(Y$71=0,0,IF(X32=0,$C32+'5 Estado de Fuentes y Usos'!X30,+X32+'5 Estado de Fuentes y Usos'!X30))</f>
        <v>50000</v>
      </c>
      <c r="Z32" s="714">
        <f>IF(Z$71=0,0,IF(Y32=0,$C32+'5 Estado de Fuentes y Usos'!Y30,+Y32+'5 Estado de Fuentes y Usos'!Y30))</f>
        <v>50000</v>
      </c>
      <c r="AA32" s="714">
        <f>IF(AA$71=0,0,IF(Z32=0,$C32+'5 Estado de Fuentes y Usos'!Z30,+Z32+'5 Estado de Fuentes y Usos'!Z30))</f>
        <v>50000</v>
      </c>
      <c r="AB32" s="714">
        <f>IF(AB$71=0,0,IF(AA32=0,$C32+'5 Estado de Fuentes y Usos'!AA30,+AA32+'5 Estado de Fuentes y Usos'!AA30))</f>
        <v>50000</v>
      </c>
      <c r="AC32" s="813">
        <f>+AB32</f>
        <v>50000</v>
      </c>
      <c r="AD32" s="305">
        <f>+P32</f>
        <v>50000</v>
      </c>
      <c r="AE32" s="714">
        <f>+AC32</f>
        <v>50000</v>
      </c>
      <c r="AF32" s="714">
        <f>+AE32+'5 Estado de Fuentes y Usos'!AE30</f>
        <v>50000</v>
      </c>
      <c r="AG32" s="714">
        <f>+AF32+'5 Estado de Fuentes y Usos'!AF30</f>
        <v>50000</v>
      </c>
      <c r="AH32" s="714">
        <f>+AG32+'5 Estado de Fuentes y Usos'!AG30</f>
        <v>50000</v>
      </c>
      <c r="AI32" s="714">
        <f>+AH32+'5 Estado de Fuentes y Usos'!AH30</f>
        <v>50000</v>
      </c>
      <c r="AJ32" s="714">
        <f>+AI32+'5 Estado de Fuentes y Usos'!AI30</f>
        <v>50000</v>
      </c>
      <c r="AK32" s="714">
        <f>+AJ32+'5 Estado de Fuentes y Usos'!AJ30</f>
        <v>50000</v>
      </c>
      <c r="AL32" s="714">
        <f>+AK32+'5 Estado de Fuentes y Usos'!AK30</f>
        <v>50000</v>
      </c>
      <c r="AM32" s="796">
        <f>+AL32+'5 Estado de Fuentes y Usos'!AL30</f>
        <v>50000</v>
      </c>
    </row>
    <row r="33" spans="1:39" x14ac:dyDescent="0.2">
      <c r="A33" s="794"/>
      <c r="B33" s="691" t="s">
        <v>4</v>
      </c>
      <c r="C33" s="798">
        <f>+'7 Balance Inicial'!B32</f>
        <v>0</v>
      </c>
      <c r="D33" s="691">
        <f>IF(D$71=0,0,IF(C33=0,$C33+'5 Estado de Fuentes y Usos'!C31,+C33+'5 Estado de Fuentes y Usos'!C31))</f>
        <v>0</v>
      </c>
      <c r="E33" s="714">
        <f>IF(E$71=0,0,IF(D33=0,$C33+'5 Estado de Fuentes y Usos'!D31,+D33+'5 Estado de Fuentes y Usos'!D31))</f>
        <v>0</v>
      </c>
      <c r="F33" s="714">
        <f>IF(F$71=0,0,IF(E33=0,$C33+'5 Estado de Fuentes y Usos'!E31,+E33+'5 Estado de Fuentes y Usos'!E31))</f>
        <v>0</v>
      </c>
      <c r="G33" s="714">
        <f>IF(G$71=0,0,IF(F33=0,$C33+'5 Estado de Fuentes y Usos'!F31,+F33+'5 Estado de Fuentes y Usos'!F31))</f>
        <v>0</v>
      </c>
      <c r="H33" s="714">
        <f>IF(H$71=0,0,IF(G33=0,$C33+'5 Estado de Fuentes y Usos'!G31,+G33+'5 Estado de Fuentes y Usos'!G31))</f>
        <v>0</v>
      </c>
      <c r="I33" s="714">
        <f>IF(I$71=0,0,IF(H33=0,$C33+'5 Estado de Fuentes y Usos'!H31,+H33+'5 Estado de Fuentes y Usos'!H31))</f>
        <v>0</v>
      </c>
      <c r="J33" s="714">
        <f>IF(J$71=0,0,IF(I33=0,$C33+'5 Estado de Fuentes y Usos'!I31,+I33+'5 Estado de Fuentes y Usos'!I31))</f>
        <v>0</v>
      </c>
      <c r="K33" s="714">
        <f>IF(K$71=0,0,IF(J33=0,$C33+'5 Estado de Fuentes y Usos'!J31,+J33+'5 Estado de Fuentes y Usos'!J31))</f>
        <v>0</v>
      </c>
      <c r="L33" s="714">
        <f>IF(L$71=0,0,IF(K33=0,$C33+'5 Estado de Fuentes y Usos'!K31,+K33+'5 Estado de Fuentes y Usos'!K31))</f>
        <v>0</v>
      </c>
      <c r="M33" s="714">
        <f>IF(M$71=0,0,IF(L33=0,$C33+'5 Estado de Fuentes y Usos'!L31,+L33+'5 Estado de Fuentes y Usos'!L31))</f>
        <v>0</v>
      </c>
      <c r="N33" s="714">
        <f>IF(N$71=0,0,IF(M33=0,$C33+'5 Estado de Fuentes y Usos'!M31,+M33+'5 Estado de Fuentes y Usos'!M31))</f>
        <v>0</v>
      </c>
      <c r="O33" s="714">
        <f>IF(O$71=0,0,IF(N33=0,$C33+'5 Estado de Fuentes y Usos'!N31,+N33+'5 Estado de Fuentes y Usos'!N31))</f>
        <v>25000</v>
      </c>
      <c r="P33" s="796">
        <f>+O33</f>
        <v>25000</v>
      </c>
      <c r="Q33" s="305">
        <f>IF(Q$71=0,0,IF(P33=0,$C33+'5 Estado de Fuentes y Usos'!P31,+P33+'5 Estado de Fuentes y Usos'!P31))</f>
        <v>25000</v>
      </c>
      <c r="R33" s="714">
        <f>IF(R$71=0,0,IF(Q33=0,$C33+'5 Estado de Fuentes y Usos'!Q31,+Q33+'5 Estado de Fuentes y Usos'!Q31))</f>
        <v>25000</v>
      </c>
      <c r="S33" s="714">
        <f>IF(S$71=0,0,IF(R33=0,$C33+'5 Estado de Fuentes y Usos'!R31,+R33+'5 Estado de Fuentes y Usos'!R31))</f>
        <v>25000</v>
      </c>
      <c r="T33" s="714">
        <f>IF(T$71=0,0,IF(S33=0,$C33+'5 Estado de Fuentes y Usos'!S31,+S33+'5 Estado de Fuentes y Usos'!S31))</f>
        <v>25000</v>
      </c>
      <c r="U33" s="714">
        <f>IF(U$71=0,0,IF(T33=0,$C33+'5 Estado de Fuentes y Usos'!T31,+T33+'5 Estado de Fuentes y Usos'!T31))</f>
        <v>25000</v>
      </c>
      <c r="V33" s="714">
        <f>IF(V$71=0,0,IF(U33=0,$C33+'5 Estado de Fuentes y Usos'!U31,+U33+'5 Estado de Fuentes y Usos'!U31))</f>
        <v>25000</v>
      </c>
      <c r="W33" s="714">
        <f>IF(W$71=0,0,IF(V33=0,$C33+'5 Estado de Fuentes y Usos'!V31,+V33+'5 Estado de Fuentes y Usos'!V31))</f>
        <v>25000</v>
      </c>
      <c r="X33" s="714">
        <f>IF(X$71=0,0,IF(W33=0,$C33+'5 Estado de Fuentes y Usos'!W31,+W33+'5 Estado de Fuentes y Usos'!W31))</f>
        <v>25000</v>
      </c>
      <c r="Y33" s="714">
        <f>IF(Y$71=0,0,IF(X33=0,$C33+'5 Estado de Fuentes y Usos'!X31,+X33+'5 Estado de Fuentes y Usos'!X31))</f>
        <v>25000</v>
      </c>
      <c r="Z33" s="714">
        <f>IF(Z$71=0,0,IF(Y33=0,$C33+'5 Estado de Fuentes y Usos'!Y31,+Y33+'5 Estado de Fuentes y Usos'!Y31))</f>
        <v>25000</v>
      </c>
      <c r="AA33" s="714">
        <f>IF(AA$71=0,0,IF(Z33=0,$C33+'5 Estado de Fuentes y Usos'!Z31,+Z33+'5 Estado de Fuentes y Usos'!Z31))</f>
        <v>25000</v>
      </c>
      <c r="AB33" s="714">
        <f>IF(AB$71=0,0,IF(AA33=0,$C33+'5 Estado de Fuentes y Usos'!AA31,+AA33+'5 Estado de Fuentes y Usos'!AA31))</f>
        <v>25000</v>
      </c>
      <c r="AC33" s="813">
        <f>+AB33</f>
        <v>25000</v>
      </c>
      <c r="AD33" s="305">
        <f>+P33</f>
        <v>25000</v>
      </c>
      <c r="AE33" s="714">
        <f>+AC33</f>
        <v>25000</v>
      </c>
      <c r="AF33" s="714">
        <f>+AE33+'5 Estado de Fuentes y Usos'!AE31</f>
        <v>25000</v>
      </c>
      <c r="AG33" s="714">
        <f>+AF33+'5 Estado de Fuentes y Usos'!AF31</f>
        <v>25000</v>
      </c>
      <c r="AH33" s="714">
        <f>+AG33+'5 Estado de Fuentes y Usos'!AG31</f>
        <v>25000</v>
      </c>
      <c r="AI33" s="714">
        <f>+AH33+'5 Estado de Fuentes y Usos'!AH31</f>
        <v>25000</v>
      </c>
      <c r="AJ33" s="714">
        <f>+AI33+'5 Estado de Fuentes y Usos'!AI31</f>
        <v>25000</v>
      </c>
      <c r="AK33" s="714">
        <f>+AJ33+'5 Estado de Fuentes y Usos'!AJ31</f>
        <v>25000</v>
      </c>
      <c r="AL33" s="714">
        <f>+AK33+'5 Estado de Fuentes y Usos'!AK31</f>
        <v>25000</v>
      </c>
      <c r="AM33" s="796">
        <f>+AL33+'5 Estado de Fuentes y Usos'!AL31</f>
        <v>25000</v>
      </c>
    </row>
    <row r="34" spans="1:39" x14ac:dyDescent="0.2">
      <c r="A34" s="794"/>
      <c r="B34" s="691" t="s">
        <v>110</v>
      </c>
      <c r="C34" s="798"/>
      <c r="D34" s="691">
        <f>-D88</f>
        <v>0</v>
      </c>
      <c r="E34" s="691">
        <f t="shared" ref="E34:AM34" si="9">-E88</f>
        <v>0</v>
      </c>
      <c r="F34" s="691">
        <f t="shared" si="9"/>
        <v>-2750</v>
      </c>
      <c r="G34" s="691">
        <f t="shared" si="9"/>
        <v>-5500</v>
      </c>
      <c r="H34" s="691">
        <f t="shared" si="9"/>
        <v>-8250</v>
      </c>
      <c r="I34" s="691">
        <f t="shared" si="9"/>
        <v>-11000</v>
      </c>
      <c r="J34" s="691">
        <f t="shared" si="9"/>
        <v>-13750</v>
      </c>
      <c r="K34" s="691">
        <f t="shared" si="9"/>
        <v>-16500</v>
      </c>
      <c r="L34" s="691">
        <f t="shared" si="9"/>
        <v>-19250</v>
      </c>
      <c r="M34" s="691">
        <f t="shared" si="9"/>
        <v>-22000</v>
      </c>
      <c r="N34" s="691">
        <f t="shared" si="9"/>
        <v>-24750</v>
      </c>
      <c r="O34" s="691">
        <f t="shared" si="9"/>
        <v>-27500</v>
      </c>
      <c r="P34" s="691">
        <f t="shared" si="9"/>
        <v>-27500</v>
      </c>
      <c r="Q34" s="691">
        <f t="shared" si="9"/>
        <v>-29791.666666666668</v>
      </c>
      <c r="R34" s="691">
        <f t="shared" si="9"/>
        <v>-32083.333333333336</v>
      </c>
      <c r="S34" s="691">
        <f t="shared" si="9"/>
        <v>-34375</v>
      </c>
      <c r="T34" s="691">
        <f t="shared" si="9"/>
        <v>-36666.666666666664</v>
      </c>
      <c r="U34" s="691">
        <f t="shared" si="9"/>
        <v>-38958.333333333328</v>
      </c>
      <c r="V34" s="691">
        <f t="shared" si="9"/>
        <v>-41249.999999999993</v>
      </c>
      <c r="W34" s="691">
        <f t="shared" si="9"/>
        <v>-43541.666666666657</v>
      </c>
      <c r="X34" s="691">
        <f t="shared" si="9"/>
        <v>-45833.333333333321</v>
      </c>
      <c r="Y34" s="691">
        <f t="shared" si="9"/>
        <v>-48124.999999999985</v>
      </c>
      <c r="Z34" s="691">
        <f t="shared" si="9"/>
        <v>-50416.66666666665</v>
      </c>
      <c r="AA34" s="691">
        <f t="shared" si="9"/>
        <v>-52708.333333333314</v>
      </c>
      <c r="AB34" s="691">
        <f t="shared" si="9"/>
        <v>-54999.999999999978</v>
      </c>
      <c r="AC34" s="691">
        <f t="shared" si="9"/>
        <v>-54999.999999999978</v>
      </c>
      <c r="AD34" s="691">
        <f t="shared" si="9"/>
        <v>-27500</v>
      </c>
      <c r="AE34" s="691">
        <f t="shared" si="9"/>
        <v>-54999.999999999978</v>
      </c>
      <c r="AF34" s="691">
        <f t="shared" si="9"/>
        <v>-82499.999999999971</v>
      </c>
      <c r="AG34" s="691">
        <f t="shared" si="9"/>
        <v>-109999.99999999997</v>
      </c>
      <c r="AH34" s="691">
        <f t="shared" si="9"/>
        <v>-137499.99999999997</v>
      </c>
      <c r="AI34" s="691">
        <f t="shared" si="9"/>
        <v>-154999.99999999997</v>
      </c>
      <c r="AJ34" s="691">
        <f t="shared" si="9"/>
        <v>-172499.99999999997</v>
      </c>
      <c r="AK34" s="691">
        <f t="shared" si="9"/>
        <v>-189999.99999999997</v>
      </c>
      <c r="AL34" s="691">
        <f t="shared" si="9"/>
        <v>-207499.99999999997</v>
      </c>
      <c r="AM34" s="691">
        <f t="shared" si="9"/>
        <v>-224999.99999999997</v>
      </c>
    </row>
    <row r="35" spans="1:39" ht="13.5" thickBot="1" x14ac:dyDescent="0.25">
      <c r="A35" s="1511" t="s">
        <v>31</v>
      </c>
      <c r="B35" s="1512"/>
      <c r="C35" s="808">
        <f t="shared" ref="C35:AM35" si="10">SUM(C31:C34)</f>
        <v>150000</v>
      </c>
      <c r="D35" s="809">
        <f t="shared" si="10"/>
        <v>0</v>
      </c>
      <c r="E35" s="803">
        <f t="shared" si="10"/>
        <v>150000</v>
      </c>
      <c r="F35" s="803">
        <f t="shared" si="10"/>
        <v>147250</v>
      </c>
      <c r="G35" s="803">
        <f t="shared" si="10"/>
        <v>144500</v>
      </c>
      <c r="H35" s="803">
        <f t="shared" si="10"/>
        <v>141750</v>
      </c>
      <c r="I35" s="803">
        <f t="shared" si="10"/>
        <v>139000</v>
      </c>
      <c r="J35" s="803">
        <f t="shared" si="10"/>
        <v>136250</v>
      </c>
      <c r="K35" s="803">
        <f t="shared" si="10"/>
        <v>133500</v>
      </c>
      <c r="L35" s="803">
        <f t="shared" si="10"/>
        <v>130750</v>
      </c>
      <c r="M35" s="803">
        <f t="shared" si="10"/>
        <v>128000</v>
      </c>
      <c r="N35" s="803">
        <f t="shared" si="10"/>
        <v>125250</v>
      </c>
      <c r="O35" s="803">
        <f t="shared" si="10"/>
        <v>197500</v>
      </c>
      <c r="P35" s="804">
        <f t="shared" si="10"/>
        <v>197500</v>
      </c>
      <c r="Q35" s="802">
        <f t="shared" si="10"/>
        <v>195208.33333333334</v>
      </c>
      <c r="R35" s="803">
        <f t="shared" si="10"/>
        <v>192916.66666666666</v>
      </c>
      <c r="S35" s="803">
        <f t="shared" si="10"/>
        <v>190625</v>
      </c>
      <c r="T35" s="803">
        <f t="shared" si="10"/>
        <v>188333.33333333334</v>
      </c>
      <c r="U35" s="803">
        <f t="shared" si="10"/>
        <v>186041.66666666669</v>
      </c>
      <c r="V35" s="803">
        <f t="shared" si="10"/>
        <v>183750</v>
      </c>
      <c r="W35" s="803">
        <f t="shared" si="10"/>
        <v>181458.33333333334</v>
      </c>
      <c r="X35" s="803">
        <f t="shared" si="10"/>
        <v>179166.66666666669</v>
      </c>
      <c r="Y35" s="803">
        <f t="shared" si="10"/>
        <v>176875</v>
      </c>
      <c r="Z35" s="803">
        <f t="shared" si="10"/>
        <v>174583.33333333334</v>
      </c>
      <c r="AA35" s="803">
        <f t="shared" si="10"/>
        <v>172291.66666666669</v>
      </c>
      <c r="AB35" s="803">
        <f t="shared" si="10"/>
        <v>170000.00000000003</v>
      </c>
      <c r="AC35" s="804">
        <f t="shared" si="10"/>
        <v>170000.00000000003</v>
      </c>
      <c r="AD35" s="802">
        <f t="shared" si="10"/>
        <v>197500</v>
      </c>
      <c r="AE35" s="803">
        <f t="shared" si="10"/>
        <v>170000.00000000003</v>
      </c>
      <c r="AF35" s="803">
        <f t="shared" si="10"/>
        <v>142500.00000000003</v>
      </c>
      <c r="AG35" s="803">
        <f t="shared" si="10"/>
        <v>115000.00000000003</v>
      </c>
      <c r="AH35" s="803">
        <f t="shared" si="10"/>
        <v>87500.000000000029</v>
      </c>
      <c r="AI35" s="803">
        <f t="shared" si="10"/>
        <v>70000.000000000029</v>
      </c>
      <c r="AJ35" s="803">
        <f t="shared" si="10"/>
        <v>52500.000000000029</v>
      </c>
      <c r="AK35" s="803">
        <f t="shared" si="10"/>
        <v>35000.000000000029</v>
      </c>
      <c r="AL35" s="803">
        <f t="shared" si="10"/>
        <v>17500.000000000029</v>
      </c>
      <c r="AM35" s="804">
        <f t="shared" si="10"/>
        <v>0</v>
      </c>
    </row>
    <row r="36" spans="1:39" ht="13.5" thickBot="1" x14ac:dyDescent="0.25">
      <c r="A36" s="810"/>
      <c r="B36" s="811"/>
      <c r="C36" s="812"/>
      <c r="D36" s="805"/>
      <c r="E36" s="806"/>
      <c r="F36" s="806"/>
      <c r="G36" s="806"/>
      <c r="H36" s="806"/>
      <c r="I36" s="806"/>
      <c r="J36" s="806"/>
      <c r="K36" s="806"/>
      <c r="L36" s="806"/>
      <c r="M36" s="806"/>
      <c r="N36" s="806"/>
      <c r="O36" s="806"/>
      <c r="P36" s="807"/>
      <c r="Q36" s="805"/>
      <c r="R36" s="806"/>
      <c r="S36" s="806"/>
      <c r="T36" s="806"/>
      <c r="U36" s="806"/>
      <c r="V36" s="806"/>
      <c r="W36" s="806"/>
      <c r="X36" s="806"/>
      <c r="Y36" s="806"/>
      <c r="Z36" s="806"/>
      <c r="AA36" s="806"/>
      <c r="AB36" s="806"/>
      <c r="AC36" s="807"/>
      <c r="AD36" s="805"/>
      <c r="AE36" s="806"/>
      <c r="AF36" s="806"/>
      <c r="AG36" s="806"/>
      <c r="AH36" s="806"/>
      <c r="AI36" s="806"/>
      <c r="AJ36" s="806"/>
      <c r="AK36" s="806"/>
      <c r="AL36" s="806"/>
      <c r="AM36" s="807"/>
    </row>
    <row r="37" spans="1:39" ht="16.5" thickBot="1" x14ac:dyDescent="0.3">
      <c r="A37" s="1519" t="s">
        <v>218</v>
      </c>
      <c r="B37" s="1520"/>
      <c r="C37" s="814">
        <f t="shared" ref="C37:AM37" si="11">+C35+C28+C19</f>
        <v>1894000</v>
      </c>
      <c r="D37" s="815">
        <f>+D35+D28+D19</f>
        <v>0</v>
      </c>
      <c r="E37" s="816">
        <f t="shared" si="11"/>
        <v>1894000</v>
      </c>
      <c r="F37" s="816">
        <f t="shared" si="11"/>
        <v>1750351</v>
      </c>
      <c r="G37" s="816">
        <f t="shared" si="11"/>
        <v>1524677</v>
      </c>
      <c r="H37" s="816">
        <f t="shared" si="11"/>
        <v>1176322</v>
      </c>
      <c r="I37" s="816">
        <f t="shared" si="11"/>
        <v>1602069.5880437377</v>
      </c>
      <c r="J37" s="816">
        <f t="shared" si="11"/>
        <v>1817694.5253918427</v>
      </c>
      <c r="K37" s="816">
        <f t="shared" si="11"/>
        <v>1977237.870296807</v>
      </c>
      <c r="L37" s="816">
        <f t="shared" si="11"/>
        <v>2181958.3062866041</v>
      </c>
      <c r="M37" s="816">
        <f t="shared" si="11"/>
        <v>2752161.894710483</v>
      </c>
      <c r="N37" s="816">
        <f t="shared" si="11"/>
        <v>3539792.1097103646</v>
      </c>
      <c r="O37" s="816">
        <f t="shared" si="11"/>
        <v>4563538.0086363647</v>
      </c>
      <c r="P37" s="817">
        <f t="shared" si="11"/>
        <v>4563538.0086363629</v>
      </c>
      <c r="Q37" s="815">
        <f t="shared" si="11"/>
        <v>4732012.4640673399</v>
      </c>
      <c r="R37" s="816">
        <f t="shared" si="11"/>
        <v>5130760.1795218866</v>
      </c>
      <c r="S37" s="816">
        <f t="shared" si="11"/>
        <v>5515347.5337500004</v>
      </c>
      <c r="T37" s="816">
        <f t="shared" si="11"/>
        <v>5318785.5489597525</v>
      </c>
      <c r="U37" s="816">
        <f t="shared" si="11"/>
        <v>5897965.5094850063</v>
      </c>
      <c r="V37" s="816">
        <f t="shared" si="11"/>
        <v>6190843.0410338268</v>
      </c>
      <c r="W37" s="816">
        <f t="shared" si="11"/>
        <v>6415665.9111062167</v>
      </c>
      <c r="X37" s="816">
        <f t="shared" si="11"/>
        <v>6571969.5997021776</v>
      </c>
      <c r="Y37" s="816">
        <f t="shared" si="11"/>
        <v>6775946.3473217059</v>
      </c>
      <c r="Z37" s="816">
        <f t="shared" si="11"/>
        <v>7352461.6529648034</v>
      </c>
      <c r="AA37" s="816">
        <f t="shared" si="11"/>
        <v>8147772.2486314708</v>
      </c>
      <c r="AB37" s="816">
        <f t="shared" si="11"/>
        <v>9182801.421321705</v>
      </c>
      <c r="AC37" s="817">
        <f t="shared" si="11"/>
        <v>9182801.421321705</v>
      </c>
      <c r="AD37" s="815">
        <f>+AD35+AD28+AD19</f>
        <v>4563538.0086363629</v>
      </c>
      <c r="AE37" s="816">
        <f t="shared" si="11"/>
        <v>9182801.421321705</v>
      </c>
      <c r="AF37" s="816">
        <f t="shared" si="11"/>
        <v>13745750.187457073</v>
      </c>
      <c r="AG37" s="816">
        <f t="shared" si="11"/>
        <v>18860869.33408672</v>
      </c>
      <c r="AH37" s="816">
        <f t="shared" si="11"/>
        <v>24585993.572340626</v>
      </c>
      <c r="AI37" s="816">
        <f t="shared" si="11"/>
        <v>30862822.013209213</v>
      </c>
      <c r="AJ37" s="816">
        <f t="shared" si="11"/>
        <v>37840494.359412938</v>
      </c>
      <c r="AK37" s="816">
        <f t="shared" si="11"/>
        <v>46424093.328568466</v>
      </c>
      <c r="AL37" s="816">
        <f t="shared" si="11"/>
        <v>55878677.898280293</v>
      </c>
      <c r="AM37" s="817">
        <f t="shared" si="11"/>
        <v>66190156.228039727</v>
      </c>
    </row>
    <row r="38" spans="1:39" ht="16.149999999999999" customHeight="1" thickBot="1" x14ac:dyDescent="0.25">
      <c r="A38" s="810"/>
      <c r="B38" s="811"/>
      <c r="C38" s="812"/>
      <c r="D38" s="805"/>
      <c r="E38" s="806"/>
      <c r="F38" s="806"/>
      <c r="G38" s="806"/>
      <c r="H38" s="806"/>
      <c r="I38" s="806"/>
      <c r="J38" s="806"/>
      <c r="K38" s="806"/>
      <c r="L38" s="806"/>
      <c r="M38" s="806"/>
      <c r="N38" s="806"/>
      <c r="O38" s="806">
        <f>+O37-P37</f>
        <v>0</v>
      </c>
      <c r="P38" s="807"/>
      <c r="Q38" s="805"/>
      <c r="R38" s="806"/>
      <c r="S38" s="806"/>
      <c r="T38" s="806"/>
      <c r="U38" s="806"/>
      <c r="V38" s="806"/>
      <c r="W38" s="806"/>
      <c r="X38" s="806"/>
      <c r="Y38" s="806"/>
      <c r="Z38" s="806"/>
      <c r="AA38" s="806"/>
      <c r="AB38" s="806"/>
      <c r="AC38" s="807"/>
      <c r="AD38" s="805"/>
      <c r="AE38" s="806"/>
      <c r="AF38" s="806"/>
      <c r="AG38" s="806"/>
      <c r="AH38" s="806"/>
      <c r="AI38" s="806"/>
      <c r="AJ38" s="806"/>
      <c r="AK38" s="806"/>
      <c r="AL38" s="806"/>
      <c r="AM38" s="807"/>
    </row>
    <row r="39" spans="1:39" s="572" customFormat="1" ht="19.149999999999999" customHeight="1" x14ac:dyDescent="0.3">
      <c r="A39" s="1540" t="s">
        <v>56</v>
      </c>
      <c r="B39" s="1541"/>
      <c r="C39" s="1542"/>
      <c r="D39" s="1541" t="str">
        <f>+A39</f>
        <v>Pasivo y Capital</v>
      </c>
      <c r="E39" s="1541"/>
      <c r="F39" s="1541"/>
      <c r="G39" s="1541"/>
      <c r="H39" s="1541"/>
      <c r="I39" s="1541"/>
      <c r="J39" s="1541"/>
      <c r="K39" s="1541"/>
      <c r="L39" s="1541"/>
      <c r="M39" s="1541"/>
      <c r="N39" s="1541"/>
      <c r="O39" s="1541"/>
      <c r="P39" s="1541"/>
      <c r="Q39" s="1543" t="str">
        <f>+D39</f>
        <v>Pasivo y Capital</v>
      </c>
      <c r="R39" s="1544"/>
      <c r="S39" s="1544"/>
      <c r="T39" s="1544"/>
      <c r="U39" s="1544"/>
      <c r="V39" s="1544"/>
      <c r="W39" s="1544"/>
      <c r="X39" s="1544"/>
      <c r="Y39" s="1544"/>
      <c r="Z39" s="1544"/>
      <c r="AA39" s="1544"/>
      <c r="AB39" s="1544"/>
      <c r="AC39" s="1545"/>
      <c r="AD39" s="1541" t="str">
        <f>+Q39</f>
        <v>Pasivo y Capital</v>
      </c>
      <c r="AE39" s="1541"/>
      <c r="AF39" s="1541"/>
      <c r="AG39" s="1541"/>
      <c r="AH39" s="1541"/>
      <c r="AI39" s="1541"/>
      <c r="AJ39" s="1541"/>
      <c r="AK39" s="1541"/>
      <c r="AL39" s="1541"/>
      <c r="AM39" s="1542"/>
    </row>
    <row r="40" spans="1:39" x14ac:dyDescent="0.2">
      <c r="A40" s="1532" t="s">
        <v>86</v>
      </c>
      <c r="B40" s="1533"/>
      <c r="C40" s="1534"/>
      <c r="D40" s="1535" t="str">
        <f>+A40</f>
        <v>Pasivo circulante</v>
      </c>
      <c r="E40" s="1536"/>
      <c r="F40" s="1536"/>
      <c r="G40" s="1536"/>
      <c r="H40" s="1536"/>
      <c r="I40" s="1536"/>
      <c r="J40" s="1536"/>
      <c r="K40" s="1536"/>
      <c r="L40" s="1536"/>
      <c r="M40" s="1536"/>
      <c r="N40" s="1536"/>
      <c r="O40" s="1536"/>
      <c r="P40" s="1537"/>
      <c r="Q40" s="1538" t="str">
        <f>+D40</f>
        <v>Pasivo circulante</v>
      </c>
      <c r="R40" s="1536"/>
      <c r="S40" s="1536"/>
      <c r="T40" s="1536"/>
      <c r="U40" s="1536"/>
      <c r="V40" s="1536"/>
      <c r="W40" s="1536"/>
      <c r="X40" s="1536"/>
      <c r="Y40" s="1536"/>
      <c r="Z40" s="1536"/>
      <c r="AA40" s="1536"/>
      <c r="AB40" s="1536"/>
      <c r="AC40" s="1539"/>
      <c r="AD40" s="1535" t="str">
        <f>+Q40</f>
        <v>Pasivo circulante</v>
      </c>
      <c r="AE40" s="1536"/>
      <c r="AF40" s="1536"/>
      <c r="AG40" s="1536"/>
      <c r="AH40" s="1536"/>
      <c r="AI40" s="1536"/>
      <c r="AJ40" s="1536"/>
      <c r="AK40" s="1536"/>
      <c r="AL40" s="1536"/>
      <c r="AM40" s="1539"/>
    </row>
    <row r="41" spans="1:39" x14ac:dyDescent="0.2">
      <c r="A41" s="794"/>
      <c r="B41" s="795" t="s">
        <v>220</v>
      </c>
      <c r="C41" s="798"/>
      <c r="D41" s="691">
        <f>+'15 Crédito Refaccionario'!B42+'16 Crédito de Avio'!B42</f>
        <v>0</v>
      </c>
      <c r="E41" s="714">
        <f>+'15 Crédito Refaccionario'!C42+'16 Crédito de Avio'!C42</f>
        <v>0</v>
      </c>
      <c r="F41" s="714">
        <f>+'15 Crédito Refaccionario'!D42+'16 Crédito de Avio'!D42</f>
        <v>11111.111111111111</v>
      </c>
      <c r="G41" s="714">
        <f>+'15 Crédito Refaccionario'!E42+'16 Crédito de Avio'!E42</f>
        <v>12962.962962962964</v>
      </c>
      <c r="H41" s="714">
        <f>+'15 Crédito Refaccionario'!F42+'16 Crédito de Avio'!F42</f>
        <v>28451.178451178457</v>
      </c>
      <c r="I41" s="714">
        <f>+'15 Crédito Refaccionario'!G42+'16 Crédito de Avio'!G42</f>
        <v>31818.181818181823</v>
      </c>
      <c r="J41" s="714">
        <f>+'15 Crédito Refaccionario'!H42+'16 Crédito de Avio'!H42</f>
        <v>35185.18518518519</v>
      </c>
      <c r="K41" s="714">
        <f>+'15 Crédito Refaccionario'!I42+'16 Crédito de Avio'!I42</f>
        <v>38552.188552188556</v>
      </c>
      <c r="L41" s="714">
        <f>+'15 Crédito Refaccionario'!J42+'16 Crédito de Avio'!J42</f>
        <v>40404.04040404041</v>
      </c>
      <c r="M41" s="714">
        <f>+'15 Crédito Refaccionario'!K42+'16 Crédito de Avio'!K42</f>
        <v>40404.04040404041</v>
      </c>
      <c r="N41" s="714">
        <f>+'15 Crédito Refaccionario'!L42+'16 Crédito de Avio'!L42</f>
        <v>40404.04040404041</v>
      </c>
      <c r="O41" s="714">
        <f>+'15 Crédito Refaccionario'!M42+'16 Crédito de Avio'!M42</f>
        <v>40404.04040404041</v>
      </c>
      <c r="P41" s="797">
        <f>+'15 Crédito Refaccionario'!N42+'16 Crédito de Avio'!N42</f>
        <v>40404.04040404041</v>
      </c>
      <c r="Q41" s="305">
        <f>+'15 Crédito Refaccionario'!O42+'16 Crédito de Avio'!O42</f>
        <v>40404.04040404041</v>
      </c>
      <c r="R41" s="714">
        <f>+'15 Crédito Refaccionario'!P42+'16 Crédito de Avio'!P42</f>
        <v>40404.04040404041</v>
      </c>
      <c r="S41" s="714">
        <f>+'15 Crédito Refaccionario'!Q42+'16 Crédito de Avio'!Q42</f>
        <v>40404.04040404041</v>
      </c>
      <c r="T41" s="714">
        <f>+'15 Crédito Refaccionario'!R42+'16 Crédito de Avio'!R42</f>
        <v>40404.04040404041</v>
      </c>
      <c r="U41" s="714">
        <f>+'15 Crédito Refaccionario'!S42+'16 Crédito de Avio'!S42</f>
        <v>40404.04040404041</v>
      </c>
      <c r="V41" s="714">
        <f>+'15 Crédito Refaccionario'!T42+'16 Crédito de Avio'!T42</f>
        <v>40404.04040404041</v>
      </c>
      <c r="W41" s="714">
        <f>+'15 Crédito Refaccionario'!U42+'16 Crédito de Avio'!U42</f>
        <v>40404.04040404041</v>
      </c>
      <c r="X41" s="714">
        <f>+'15 Crédito Refaccionario'!V42+'16 Crédito de Avio'!V42</f>
        <v>40404.04040404041</v>
      </c>
      <c r="Y41" s="714">
        <f>+'15 Crédito Refaccionario'!W42+'16 Crédito de Avio'!W42</f>
        <v>40404.04040404041</v>
      </c>
      <c r="Z41" s="714">
        <f>+'15 Crédito Refaccionario'!X42+'16 Crédito de Avio'!X42</f>
        <v>40404.04040404041</v>
      </c>
      <c r="AA41" s="714">
        <f>+'15 Crédito Refaccionario'!Y42+'16 Crédito de Avio'!Y42</f>
        <v>40404.04040404041</v>
      </c>
      <c r="AB41" s="714">
        <f>+'15 Crédito Refaccionario'!Z42+'16 Crédito de Avio'!Z42</f>
        <v>40404.04040404041</v>
      </c>
      <c r="AC41" s="796">
        <f>+'15 Crédito Refaccionario'!AA42+'16 Crédito de Avio'!AA42</f>
        <v>40404.04040404041</v>
      </c>
      <c r="AD41" s="795">
        <f>+'15 Crédito Refaccionario'!AB42+'16 Crédito de Avio'!AB42</f>
        <v>40404.04040404041</v>
      </c>
      <c r="AE41" s="714">
        <f>+'15 Crédito Refaccionario'!AC42+'16 Crédito de Avio'!AC42</f>
        <v>40404.04040404041</v>
      </c>
      <c r="AF41" s="714">
        <f>+'15 Crédito Refaccionario'!AD42+'16 Crédito de Avio'!AD42</f>
        <v>29797.979797979795</v>
      </c>
      <c r="AG41" s="714">
        <f>+'15 Crédito Refaccionario'!AE42+'16 Crédito de Avio'!AE42</f>
        <v>22222.222222222219</v>
      </c>
      <c r="AH41" s="714">
        <f>+'15 Crédito Refaccionario'!AF42+'16 Crédito de Avio'!AF42</f>
        <v>5555.5555555555557</v>
      </c>
      <c r="AI41" s="691">
        <f>+'15 Crédito Refaccionario'!AG42+'16 Crédito de Avio'!AG42</f>
        <v>0</v>
      </c>
      <c r="AJ41" s="691">
        <f>+'15 Crédito Refaccionario'!AH42+'16 Crédito de Avio'!AH42</f>
        <v>0</v>
      </c>
      <c r="AK41" s="714">
        <f>+'15 Crédito Refaccionario'!AI12-'15 Crédito Refaccionario'!AJ12+'16 Crédito de Avio'!AI12-'16 Crédito de Avio'!AJ12</f>
        <v>0</v>
      </c>
      <c r="AL41" s="714">
        <f>+'15 Crédito Refaccionario'!AJ12-'15 Crédito Refaccionario'!AK12+'16 Crédito de Avio'!AJ12-'16 Crédito de Avio'!AK12</f>
        <v>0</v>
      </c>
      <c r="AM41" s="796">
        <f>+'15 Crédito Refaccionario'!AK12-'15 Crédito Refaccionario'!AL12+'16 Crédito de Avio'!AK12-'16 Crédito de Avio'!AL12</f>
        <v>0</v>
      </c>
    </row>
    <row r="42" spans="1:39" x14ac:dyDescent="0.2">
      <c r="A42" s="794"/>
      <c r="B42" s="795" t="s">
        <v>315</v>
      </c>
      <c r="C42" s="798"/>
      <c r="D42" s="691"/>
      <c r="E42" s="714"/>
      <c r="F42" s="714"/>
      <c r="G42" s="714"/>
      <c r="H42" s="714"/>
      <c r="I42" s="714"/>
      <c r="J42" s="714"/>
      <c r="K42" s="714"/>
      <c r="L42" s="714"/>
      <c r="M42" s="714"/>
      <c r="N42" s="714"/>
      <c r="O42" s="714">
        <f>+AD42</f>
        <v>340164.88146464649</v>
      </c>
      <c r="P42" s="797">
        <f>+O42</f>
        <v>340164.88146464649</v>
      </c>
      <c r="Q42" s="305">
        <f>+O42</f>
        <v>340164.88146464649</v>
      </c>
      <c r="R42" s="714">
        <f>+Q42</f>
        <v>340164.88146464649</v>
      </c>
      <c r="S42" s="714">
        <f>+R42</f>
        <v>340164.88146464649</v>
      </c>
      <c r="T42" s="714"/>
      <c r="U42" s="714"/>
      <c r="V42" s="714"/>
      <c r="W42" s="714"/>
      <c r="X42" s="714"/>
      <c r="Y42" s="714"/>
      <c r="Z42" s="714"/>
      <c r="AA42" s="714"/>
      <c r="AB42" s="714">
        <f>+AE42</f>
        <v>749923.4424116161</v>
      </c>
      <c r="AC42" s="796">
        <f>+AB42</f>
        <v>749923.4424116161</v>
      </c>
      <c r="AD42" s="795">
        <f>+'4 Estado de Resultados'!AD25</f>
        <v>340164.88146464649</v>
      </c>
      <c r="AE42" s="795">
        <f>+'4 Estado de Resultados'!AE25</f>
        <v>749923.4424116161</v>
      </c>
      <c r="AF42" s="795">
        <f>+'4 Estado de Resultados'!AF25</f>
        <v>843373.06517146493</v>
      </c>
      <c r="AG42" s="795">
        <f>+'4 Estado de Resultados'!AG25</f>
        <v>943886.26987599512</v>
      </c>
      <c r="AH42" s="795">
        <f>+'4 Estado de Resultados'!AH25</f>
        <v>1054844.080629979</v>
      </c>
      <c r="AI42" s="795">
        <f>+'4 Estado de Resultados'!AI25</f>
        <v>1180190.1251358395</v>
      </c>
      <c r="AJ42" s="795">
        <f>+'4 Estado de Resultados'!AJ25</f>
        <v>1289135.8735757503</v>
      </c>
      <c r="AK42" s="795">
        <f>+'4 Estado de Resultados'!AK25</f>
        <v>1410390.691818753</v>
      </c>
      <c r="AL42" s="795">
        <f>+'4 Estado de Resultados'!AL25</f>
        <v>1552139.3230757976</v>
      </c>
      <c r="AM42" s="795">
        <f>+'4 Estado de Resultados'!AM25</f>
        <v>1694802.5218336028</v>
      </c>
    </row>
    <row r="43" spans="1:39" x14ac:dyDescent="0.2">
      <c r="A43" s="794"/>
      <c r="B43" s="795" t="s">
        <v>190</v>
      </c>
      <c r="C43" s="819">
        <f>+'7 Balance Inicial'!E17++'7 Balance Inicial'!E8+'7 Balance Inicial'!E11+'7 Balance Inicial'!E14</f>
        <v>0</v>
      </c>
      <c r="D43" s="691"/>
      <c r="E43" s="714"/>
      <c r="F43" s="714"/>
      <c r="G43" s="714"/>
      <c r="H43" s="714"/>
      <c r="I43" s="714"/>
      <c r="J43" s="714"/>
      <c r="K43" s="714"/>
      <c r="L43" s="714"/>
      <c r="M43" s="714"/>
      <c r="N43" s="714"/>
      <c r="O43" s="714">
        <f>+AD43</f>
        <v>249631.76232728458</v>
      </c>
      <c r="P43" s="797">
        <f>+O43</f>
        <v>249631.76232728458</v>
      </c>
      <c r="Q43" s="305">
        <f>+'4 Estado de Resultados'!Q25+'4 Estado de Resultados'!Q26+P43</f>
        <v>249631.76232728458</v>
      </c>
      <c r="R43" s="714">
        <f>+'4 Estado de Resultados'!R25+'4 Estado de Resultados'!R26+Q43</f>
        <v>249631.76232728458</v>
      </c>
      <c r="S43" s="714">
        <f>+'4 Estado de Resultados'!S25+'4 Estado de Resultados'!S26+R43</f>
        <v>249631.76232728458</v>
      </c>
      <c r="T43" s="714">
        <f>+'4 Estado de Resultados'!T25+'4 Estado de Resultados'!T26</f>
        <v>0</v>
      </c>
      <c r="U43" s="714">
        <f>+'4 Estado de Resultados'!U25+'4 Estado de Resultados'!U26</f>
        <v>0</v>
      </c>
      <c r="V43" s="714">
        <f>+'4 Estado de Resultados'!V25+'4 Estado de Resultados'!V26</f>
        <v>0</v>
      </c>
      <c r="W43" s="714">
        <f>+'4 Estado de Resultados'!W25+'4 Estado de Resultados'!W26</f>
        <v>0</v>
      </c>
      <c r="X43" s="714">
        <f>+'4 Estado de Resultados'!X25+'4 Estado de Resultados'!X26</f>
        <v>0</v>
      </c>
      <c r="Y43" s="714">
        <f>+'4 Estado de Resultados'!Y25+'4 Estado de Resultados'!Y26</f>
        <v>0</v>
      </c>
      <c r="Z43" s="714">
        <f>+'4 Estado de Resultados'!Z25+'4 Estado de Resultados'!Z26</f>
        <v>0</v>
      </c>
      <c r="AA43" s="714">
        <f>+'4 Estado de Resultados'!AA25+'4 Estado de Resultados'!AA26</f>
        <v>0</v>
      </c>
      <c r="AB43" s="714">
        <f>+AE43</f>
        <v>550335.20724922896</v>
      </c>
      <c r="AC43" s="796">
        <f>+AB43</f>
        <v>550335.20724922896</v>
      </c>
      <c r="AD43" s="714">
        <f>+'4 Estado de Resultados'!AD26</f>
        <v>249631.76232728458</v>
      </c>
      <c r="AE43" s="714">
        <f>+'4 Estado de Resultados'!AE26</f>
        <v>550335.20724922896</v>
      </c>
      <c r="AF43" s="714">
        <f>+'4 Estado de Resultados'!AF26</f>
        <v>618913.69753287535</v>
      </c>
      <c r="AG43" s="714">
        <f>+'4 Estado de Resultados'!AG26</f>
        <v>692675.83405772632</v>
      </c>
      <c r="AH43" s="714">
        <f>+'4 Estado de Resultados'!AH26</f>
        <v>774102.79889675556</v>
      </c>
      <c r="AI43" s="714">
        <f>+'4 Estado de Resultados'!AI26</f>
        <v>866088.64369068446</v>
      </c>
      <c r="AJ43" s="714">
        <f>+'4 Estado de Resultados'!AJ26</f>
        <v>0</v>
      </c>
      <c r="AK43" s="714">
        <f>+'4 Estado de Resultados'!AK26</f>
        <v>0</v>
      </c>
      <c r="AL43" s="714">
        <f>+'4 Estado de Resultados'!AL26</f>
        <v>0</v>
      </c>
      <c r="AM43" s="714">
        <f>+'4 Estado de Resultados'!AM26</f>
        <v>0</v>
      </c>
    </row>
    <row r="44" spans="1:39" x14ac:dyDescent="0.2">
      <c r="A44" s="794"/>
      <c r="B44" s="795" t="s">
        <v>89</v>
      </c>
      <c r="C44" s="798">
        <f>+'7 Balance Inicial'!E18</f>
        <v>0</v>
      </c>
      <c r="D44" s="691"/>
      <c r="E44" s="714"/>
      <c r="F44" s="714"/>
      <c r="G44" s="714"/>
      <c r="H44" s="714"/>
      <c r="I44" s="714"/>
      <c r="J44" s="714"/>
      <c r="K44" s="714"/>
      <c r="L44" s="714"/>
      <c r="M44" s="714"/>
      <c r="N44" s="714"/>
      <c r="O44" s="714"/>
      <c r="P44" s="797">
        <f>+O44</f>
        <v>0</v>
      </c>
      <c r="Q44" s="305"/>
      <c r="R44" s="714"/>
      <c r="S44" s="714"/>
      <c r="T44" s="714"/>
      <c r="U44" s="714"/>
      <c r="V44" s="714"/>
      <c r="W44" s="714"/>
      <c r="X44" s="714"/>
      <c r="Y44" s="714"/>
      <c r="Z44" s="714"/>
      <c r="AA44" s="714"/>
      <c r="AB44" s="714"/>
      <c r="AC44" s="796"/>
      <c r="AD44" s="691"/>
      <c r="AE44" s="714"/>
      <c r="AF44" s="714"/>
      <c r="AG44" s="714"/>
      <c r="AH44" s="714"/>
      <c r="AI44" s="714"/>
      <c r="AJ44" s="714"/>
      <c r="AK44" s="714"/>
      <c r="AL44" s="714"/>
      <c r="AM44" s="796"/>
    </row>
    <row r="45" spans="1:39" x14ac:dyDescent="0.2">
      <c r="A45" s="794"/>
      <c r="B45" s="795" t="s">
        <v>90</v>
      </c>
      <c r="C45" s="798">
        <f>+'7 Balance Inicial'!E19</f>
        <v>0</v>
      </c>
      <c r="D45" s="691"/>
      <c r="E45" s="714"/>
      <c r="F45" s="714"/>
      <c r="G45" s="714"/>
      <c r="H45" s="714"/>
      <c r="I45" s="714"/>
      <c r="J45" s="714"/>
      <c r="K45" s="714"/>
      <c r="L45" s="714"/>
      <c r="M45" s="714"/>
      <c r="N45" s="714"/>
      <c r="O45" s="714"/>
      <c r="P45" s="797">
        <f>+O45</f>
        <v>0</v>
      </c>
      <c r="Q45" s="305"/>
      <c r="R45" s="714"/>
      <c r="S45" s="714"/>
      <c r="T45" s="714"/>
      <c r="U45" s="714"/>
      <c r="V45" s="714"/>
      <c r="W45" s="714"/>
      <c r="X45" s="714"/>
      <c r="Y45" s="714"/>
      <c r="Z45" s="714"/>
      <c r="AA45" s="714"/>
      <c r="AB45" s="714"/>
      <c r="AC45" s="796"/>
      <c r="AD45" s="691">
        <f>+P45</f>
        <v>0</v>
      </c>
      <c r="AE45" s="714"/>
      <c r="AF45" s="714"/>
      <c r="AG45" s="714"/>
      <c r="AH45" s="714"/>
      <c r="AI45" s="714"/>
      <c r="AJ45" s="714"/>
      <c r="AK45" s="714"/>
      <c r="AL45" s="714"/>
      <c r="AM45" s="796"/>
    </row>
    <row r="46" spans="1:39" ht="13.5" thickBot="1" x14ac:dyDescent="0.25">
      <c r="A46" s="1511" t="s">
        <v>91</v>
      </c>
      <c r="B46" s="1515"/>
      <c r="C46" s="808">
        <f t="shared" ref="C46:AM46" si="12">SUM(C41:C45)</f>
        <v>0</v>
      </c>
      <c r="D46" s="809">
        <f t="shared" ref="D46:P46" si="13">SUM(D41:D45)</f>
        <v>0</v>
      </c>
      <c r="E46" s="803">
        <f t="shared" si="13"/>
        <v>0</v>
      </c>
      <c r="F46" s="803">
        <f t="shared" si="13"/>
        <v>11111.111111111111</v>
      </c>
      <c r="G46" s="803">
        <f t="shared" si="13"/>
        <v>12962.962962962964</v>
      </c>
      <c r="H46" s="803">
        <f t="shared" si="13"/>
        <v>28451.178451178457</v>
      </c>
      <c r="I46" s="803">
        <f t="shared" si="13"/>
        <v>31818.181818181823</v>
      </c>
      <c r="J46" s="803">
        <f t="shared" si="13"/>
        <v>35185.18518518519</v>
      </c>
      <c r="K46" s="803">
        <f t="shared" si="13"/>
        <v>38552.188552188556</v>
      </c>
      <c r="L46" s="803">
        <f t="shared" si="13"/>
        <v>40404.04040404041</v>
      </c>
      <c r="M46" s="803">
        <f t="shared" si="13"/>
        <v>40404.04040404041</v>
      </c>
      <c r="N46" s="803">
        <f t="shared" si="13"/>
        <v>40404.04040404041</v>
      </c>
      <c r="O46" s="803">
        <f t="shared" si="13"/>
        <v>630200.68419597147</v>
      </c>
      <c r="P46" s="801">
        <f t="shared" si="13"/>
        <v>630200.68419597147</v>
      </c>
      <c r="Q46" s="802">
        <f t="shared" si="12"/>
        <v>630200.68419597147</v>
      </c>
      <c r="R46" s="803">
        <f t="shared" si="12"/>
        <v>630200.68419597147</v>
      </c>
      <c r="S46" s="803">
        <f t="shared" si="12"/>
        <v>630200.68419597147</v>
      </c>
      <c r="T46" s="803">
        <f t="shared" si="12"/>
        <v>40404.04040404041</v>
      </c>
      <c r="U46" s="803">
        <f t="shared" si="12"/>
        <v>40404.04040404041</v>
      </c>
      <c r="V46" s="803">
        <f t="shared" si="12"/>
        <v>40404.04040404041</v>
      </c>
      <c r="W46" s="803">
        <f t="shared" si="12"/>
        <v>40404.04040404041</v>
      </c>
      <c r="X46" s="803">
        <f t="shared" si="12"/>
        <v>40404.04040404041</v>
      </c>
      <c r="Y46" s="803">
        <f t="shared" si="12"/>
        <v>40404.04040404041</v>
      </c>
      <c r="Z46" s="803">
        <f t="shared" si="12"/>
        <v>40404.04040404041</v>
      </c>
      <c r="AA46" s="803">
        <f t="shared" si="12"/>
        <v>40404.04040404041</v>
      </c>
      <c r="AB46" s="803">
        <f t="shared" si="12"/>
        <v>1340662.6900648854</v>
      </c>
      <c r="AC46" s="804">
        <f t="shared" si="12"/>
        <v>1340662.6900648854</v>
      </c>
      <c r="AD46" s="809">
        <f>SUM(AD41:AD45)</f>
        <v>630200.68419597147</v>
      </c>
      <c r="AE46" s="803">
        <f t="shared" si="12"/>
        <v>1340662.6900648854</v>
      </c>
      <c r="AF46" s="803">
        <f t="shared" si="12"/>
        <v>1492084.7425023201</v>
      </c>
      <c r="AG46" s="803">
        <f t="shared" si="12"/>
        <v>1658784.3261559438</v>
      </c>
      <c r="AH46" s="803">
        <f t="shared" si="12"/>
        <v>1834502.4350822901</v>
      </c>
      <c r="AI46" s="803">
        <f t="shared" si="12"/>
        <v>2046278.7688265238</v>
      </c>
      <c r="AJ46" s="803">
        <f t="shared" si="12"/>
        <v>1289135.8735757503</v>
      </c>
      <c r="AK46" s="803">
        <f t="shared" si="12"/>
        <v>1410390.691818753</v>
      </c>
      <c r="AL46" s="803">
        <f t="shared" si="12"/>
        <v>1552139.3230757976</v>
      </c>
      <c r="AM46" s="804">
        <f t="shared" si="12"/>
        <v>1694802.5218336028</v>
      </c>
    </row>
    <row r="47" spans="1:39" ht="13.5" thickBot="1" x14ac:dyDescent="0.25">
      <c r="A47" s="810"/>
      <c r="B47" s="811"/>
      <c r="C47" s="812"/>
      <c r="D47" s="805"/>
      <c r="E47" s="806"/>
      <c r="F47" s="806"/>
      <c r="G47" s="806"/>
      <c r="H47" s="806"/>
      <c r="I47" s="806"/>
      <c r="J47" s="806"/>
      <c r="K47" s="806"/>
      <c r="L47" s="806"/>
      <c r="M47" s="806"/>
      <c r="N47" s="806"/>
      <c r="O47" s="806"/>
      <c r="P47" s="807"/>
      <c r="Q47" s="805"/>
      <c r="R47" s="806"/>
      <c r="S47" s="806"/>
      <c r="T47" s="806"/>
      <c r="U47" s="806"/>
      <c r="V47" s="806"/>
      <c r="W47" s="806"/>
      <c r="X47" s="806"/>
      <c r="Y47" s="806"/>
      <c r="Z47" s="806"/>
      <c r="AA47" s="806"/>
      <c r="AB47" s="806"/>
      <c r="AC47" s="807"/>
      <c r="AD47" s="805"/>
      <c r="AE47" s="806"/>
      <c r="AF47" s="806"/>
      <c r="AG47" s="806"/>
      <c r="AH47" s="806"/>
      <c r="AI47" s="806"/>
      <c r="AJ47" s="806"/>
      <c r="AK47" s="806"/>
      <c r="AL47" s="806"/>
      <c r="AM47" s="807"/>
    </row>
    <row r="48" spans="1:39" x14ac:dyDescent="0.2">
      <c r="A48" s="1516" t="s">
        <v>219</v>
      </c>
      <c r="B48" s="1517"/>
      <c r="C48" s="1517"/>
      <c r="D48" s="1527" t="str">
        <f>+A48</f>
        <v>Pasivo fijo</v>
      </c>
      <c r="E48" s="1528"/>
      <c r="F48" s="1528"/>
      <c r="G48" s="1528"/>
      <c r="H48" s="1528"/>
      <c r="I48" s="1528"/>
      <c r="J48" s="1528"/>
      <c r="K48" s="1528"/>
      <c r="L48" s="1528"/>
      <c r="M48" s="1528"/>
      <c r="N48" s="1528"/>
      <c r="O48" s="1528"/>
      <c r="P48" s="1529"/>
      <c r="Q48" s="1527" t="str">
        <f>+D48</f>
        <v>Pasivo fijo</v>
      </c>
      <c r="R48" s="1528"/>
      <c r="S48" s="1528"/>
      <c r="T48" s="1528"/>
      <c r="U48" s="1528"/>
      <c r="V48" s="1528"/>
      <c r="W48" s="1528"/>
      <c r="X48" s="1528"/>
      <c r="Y48" s="1528"/>
      <c r="Z48" s="1528"/>
      <c r="AA48" s="1528"/>
      <c r="AB48" s="1528"/>
      <c r="AC48" s="1530"/>
      <c r="AD48" s="1531" t="str">
        <f>+Q48</f>
        <v>Pasivo fijo</v>
      </c>
      <c r="AE48" s="1528"/>
      <c r="AF48" s="1528"/>
      <c r="AG48" s="1528"/>
      <c r="AH48" s="1528"/>
      <c r="AI48" s="1528"/>
      <c r="AJ48" s="1528"/>
      <c r="AK48" s="1528"/>
      <c r="AL48" s="1528"/>
      <c r="AM48" s="1530"/>
    </row>
    <row r="49" spans="1:39" x14ac:dyDescent="0.2">
      <c r="A49" s="794"/>
      <c r="B49" s="795" t="s">
        <v>220</v>
      </c>
      <c r="C49" s="798">
        <f>+'7 Balance Inicial'!E25</f>
        <v>0</v>
      </c>
      <c r="D49" s="794">
        <f>+'15 Crédito Refaccionario'!B44+'16 Crédito de Avio'!B44</f>
        <v>0</v>
      </c>
      <c r="E49" s="714">
        <f>+'15 Crédito Refaccionario'!C44+'16 Crédito de Avio'!C44</f>
        <v>0</v>
      </c>
      <c r="F49" s="714">
        <f>+'15 Crédito Refaccionario'!D44+'16 Crédito de Avio'!D44</f>
        <v>88888.888888888891</v>
      </c>
      <c r="G49" s="714">
        <f>+'15 Crédito Refaccionario'!E44+'16 Crédito de Avio'!E44</f>
        <v>87037.037037037036</v>
      </c>
      <c r="H49" s="714">
        <f>+'15 Crédito Refaccionario'!F44+'16 Crédito de Avio'!F44</f>
        <v>121548.82154882155</v>
      </c>
      <c r="I49" s="714">
        <f>+'15 Crédito Refaccionario'!G44+'16 Crédito de Avio'!G44</f>
        <v>118181.81818181818</v>
      </c>
      <c r="J49" s="714">
        <f>+'15 Crédito Refaccionario'!H44+'16 Crédito de Avio'!H44</f>
        <v>114814.81481481482</v>
      </c>
      <c r="K49" s="714">
        <f>+'15 Crédito Refaccionario'!I44+'16 Crédito de Avio'!I44</f>
        <v>111447.81144781144</v>
      </c>
      <c r="L49" s="714">
        <f>+'15 Crédito Refaccionario'!J44+'16 Crédito de Avio'!J44</f>
        <v>108080.80808080808</v>
      </c>
      <c r="M49" s="714">
        <f>+'15 Crédito Refaccionario'!K44+'16 Crédito de Avio'!K44</f>
        <v>104713.80471380471</v>
      </c>
      <c r="N49" s="714">
        <f>+'15 Crédito Refaccionario'!L44+'16 Crédito de Avio'!L44</f>
        <v>101346.80134680135</v>
      </c>
      <c r="O49" s="714">
        <f>+'15 Crédito Refaccionario'!M44+'16 Crédito de Avio'!M44</f>
        <v>97979.797979797979</v>
      </c>
      <c r="P49" s="797">
        <f>+'15 Crédito Refaccionario'!N44+'16 Crédito de Avio'!N44</f>
        <v>97979.797979797979</v>
      </c>
      <c r="Q49" s="305">
        <f>+'15 Crédito Refaccionario'!O44+'16 Crédito de Avio'!O44</f>
        <v>94612.79461279462</v>
      </c>
      <c r="R49" s="714">
        <f>+'15 Crédito Refaccionario'!P44+'16 Crédito de Avio'!P44</f>
        <v>91245.791245791246</v>
      </c>
      <c r="S49" s="714">
        <f>+'15 Crédito Refaccionario'!Q44+'16 Crédito de Avio'!Q44</f>
        <v>87878.787878787887</v>
      </c>
      <c r="T49" s="714">
        <f>+'15 Crédito Refaccionario'!R44+'16 Crédito de Avio'!R44</f>
        <v>84511.784511784514</v>
      </c>
      <c r="U49" s="714">
        <f>+'15 Crédito Refaccionario'!S44+'16 Crédito de Avio'!S44</f>
        <v>81144.781144781155</v>
      </c>
      <c r="V49" s="714">
        <f>+'15 Crédito Refaccionario'!T44+'16 Crédito de Avio'!T44</f>
        <v>77777.777777777781</v>
      </c>
      <c r="W49" s="714">
        <f>+'15 Crédito Refaccionario'!U44+'16 Crédito de Avio'!U44</f>
        <v>74410.774410774422</v>
      </c>
      <c r="X49" s="714">
        <f>+'15 Crédito Refaccionario'!V44+'16 Crédito de Avio'!V44</f>
        <v>71043.771043771048</v>
      </c>
      <c r="Y49" s="714">
        <f>+'15 Crédito Refaccionario'!W44+'16 Crédito de Avio'!W44</f>
        <v>67676.767676767675</v>
      </c>
      <c r="Z49" s="714">
        <f>+'15 Crédito Refaccionario'!X44+'16 Crédito de Avio'!X44</f>
        <v>64309.764309764309</v>
      </c>
      <c r="AA49" s="714">
        <f>+'15 Crédito Refaccionario'!Y44+'16 Crédito de Avio'!Y44</f>
        <v>60942.760942760942</v>
      </c>
      <c r="AB49" s="714">
        <f>+'15 Crédito Refaccionario'!Z44+'16 Crédito de Avio'!Z44</f>
        <v>57575.757575757569</v>
      </c>
      <c r="AC49" s="796">
        <f>+'15 Crédito Refaccionario'!AA44+'16 Crédito de Avio'!AA44</f>
        <v>57575.757575757569</v>
      </c>
      <c r="AD49" s="795">
        <f>+'15 Crédito Refaccionario'!AB44+'16 Crédito de Avio'!AB44</f>
        <v>97979.797979797979</v>
      </c>
      <c r="AE49" s="714">
        <f>+'15 Crédito Refaccionario'!AC44+'16 Crédito de Avio'!AC44</f>
        <v>57575.757575757569</v>
      </c>
      <c r="AF49" s="714">
        <f>+'15 Crédito Refaccionario'!AD44+'16 Crédito de Avio'!AD44</f>
        <v>27777.777777777723</v>
      </c>
      <c r="AG49" s="714">
        <f>+'15 Crédito Refaccionario'!AE44+'16 Crédito de Avio'!AE44</f>
        <v>5555.5555555554856</v>
      </c>
      <c r="AH49" s="714">
        <f>+'15 Crédito Refaccionario'!AF44+'16 Crédito de Avio'!AF44</f>
        <v>0</v>
      </c>
      <c r="AI49" s="714">
        <f>+'15 Crédito Refaccionario'!AG44+'16 Crédito de Avio'!AG44</f>
        <v>0</v>
      </c>
      <c r="AJ49" s="714">
        <f>+AK76</f>
        <v>0</v>
      </c>
      <c r="AK49" s="714">
        <f>+AL76</f>
        <v>0</v>
      </c>
      <c r="AL49" s="714">
        <f>+AM76</f>
        <v>0</v>
      </c>
      <c r="AM49" s="796">
        <f>+AN76</f>
        <v>0</v>
      </c>
    </row>
    <row r="50" spans="1:39" ht="13.5" thickBot="1" x14ac:dyDescent="0.25">
      <c r="A50" s="1511" t="s">
        <v>221</v>
      </c>
      <c r="B50" s="1515"/>
      <c r="C50" s="808">
        <f t="shared" ref="C50:AM50" si="14">SUM(C49:C49)</f>
        <v>0</v>
      </c>
      <c r="D50" s="802">
        <f t="shared" si="14"/>
        <v>0</v>
      </c>
      <c r="E50" s="803">
        <f t="shared" si="14"/>
        <v>0</v>
      </c>
      <c r="F50" s="803">
        <f t="shared" si="14"/>
        <v>88888.888888888891</v>
      </c>
      <c r="G50" s="803">
        <f t="shared" si="14"/>
        <v>87037.037037037036</v>
      </c>
      <c r="H50" s="803">
        <f t="shared" si="14"/>
        <v>121548.82154882155</v>
      </c>
      <c r="I50" s="803">
        <f t="shared" si="14"/>
        <v>118181.81818181818</v>
      </c>
      <c r="J50" s="803">
        <f t="shared" si="14"/>
        <v>114814.81481481482</v>
      </c>
      <c r="K50" s="803">
        <f t="shared" si="14"/>
        <v>111447.81144781144</v>
      </c>
      <c r="L50" s="803">
        <f t="shared" si="14"/>
        <v>108080.80808080808</v>
      </c>
      <c r="M50" s="803">
        <f t="shared" si="14"/>
        <v>104713.80471380471</v>
      </c>
      <c r="N50" s="803">
        <f t="shared" si="14"/>
        <v>101346.80134680135</v>
      </c>
      <c r="O50" s="803">
        <f t="shared" si="14"/>
        <v>97979.797979797979</v>
      </c>
      <c r="P50" s="801">
        <f t="shared" si="14"/>
        <v>97979.797979797979</v>
      </c>
      <c r="Q50" s="802">
        <f t="shared" si="14"/>
        <v>94612.79461279462</v>
      </c>
      <c r="R50" s="803">
        <f t="shared" si="14"/>
        <v>91245.791245791246</v>
      </c>
      <c r="S50" s="803">
        <f t="shared" si="14"/>
        <v>87878.787878787887</v>
      </c>
      <c r="T50" s="803">
        <f t="shared" si="14"/>
        <v>84511.784511784514</v>
      </c>
      <c r="U50" s="803">
        <f t="shared" si="14"/>
        <v>81144.781144781155</v>
      </c>
      <c r="V50" s="803">
        <f t="shared" si="14"/>
        <v>77777.777777777781</v>
      </c>
      <c r="W50" s="803">
        <f t="shared" si="14"/>
        <v>74410.774410774422</v>
      </c>
      <c r="X50" s="803">
        <f t="shared" si="14"/>
        <v>71043.771043771048</v>
      </c>
      <c r="Y50" s="803">
        <f t="shared" si="14"/>
        <v>67676.767676767675</v>
      </c>
      <c r="Z50" s="803">
        <f t="shared" si="14"/>
        <v>64309.764309764309</v>
      </c>
      <c r="AA50" s="803">
        <f t="shared" si="14"/>
        <v>60942.760942760942</v>
      </c>
      <c r="AB50" s="803">
        <f t="shared" si="14"/>
        <v>57575.757575757569</v>
      </c>
      <c r="AC50" s="804">
        <f t="shared" si="14"/>
        <v>57575.757575757569</v>
      </c>
      <c r="AD50" s="820">
        <f t="shared" si="14"/>
        <v>97979.797979797979</v>
      </c>
      <c r="AE50" s="821">
        <f t="shared" si="14"/>
        <v>57575.757575757569</v>
      </c>
      <c r="AF50" s="821">
        <f t="shared" si="14"/>
        <v>27777.777777777723</v>
      </c>
      <c r="AG50" s="821">
        <f t="shared" si="14"/>
        <v>5555.5555555554856</v>
      </c>
      <c r="AH50" s="821">
        <f>SUM(AH49:AH49)</f>
        <v>0</v>
      </c>
      <c r="AI50" s="821">
        <f t="shared" si="14"/>
        <v>0</v>
      </c>
      <c r="AJ50" s="821">
        <f t="shared" si="14"/>
        <v>0</v>
      </c>
      <c r="AK50" s="821">
        <f t="shared" si="14"/>
        <v>0</v>
      </c>
      <c r="AL50" s="821">
        <f t="shared" si="14"/>
        <v>0</v>
      </c>
      <c r="AM50" s="818">
        <f t="shared" si="14"/>
        <v>0</v>
      </c>
    </row>
    <row r="51" spans="1:39" ht="13.5" thickBot="1" x14ac:dyDescent="0.25">
      <c r="A51" s="810"/>
      <c r="B51" s="811"/>
      <c r="C51" s="812"/>
      <c r="D51" s="805"/>
      <c r="E51" s="806"/>
      <c r="F51" s="806"/>
      <c r="G51" s="806"/>
      <c r="H51" s="806"/>
      <c r="I51" s="806"/>
      <c r="J51" s="806"/>
      <c r="K51" s="806"/>
      <c r="L51" s="806"/>
      <c r="M51" s="806"/>
      <c r="N51" s="806"/>
      <c r="O51" s="806"/>
      <c r="P51" s="807"/>
      <c r="Q51" s="822"/>
      <c r="R51" s="823"/>
      <c r="S51" s="823"/>
      <c r="T51" s="823"/>
      <c r="U51" s="823"/>
      <c r="V51" s="823"/>
      <c r="W51" s="823"/>
      <c r="X51" s="823"/>
      <c r="Y51" s="823"/>
      <c r="Z51" s="823"/>
      <c r="AA51" s="823"/>
      <c r="AB51" s="823"/>
      <c r="AC51" s="824"/>
      <c r="AD51" s="794"/>
      <c r="AE51" s="795"/>
      <c r="AF51" s="795"/>
      <c r="AG51" s="795"/>
      <c r="AH51" s="795"/>
      <c r="AI51" s="795"/>
      <c r="AJ51" s="795"/>
      <c r="AK51" s="795"/>
      <c r="AL51" s="795"/>
      <c r="AM51" s="798"/>
    </row>
    <row r="52" spans="1:39" ht="13.5" thickBot="1" x14ac:dyDescent="0.25">
      <c r="A52" s="1513" t="s">
        <v>171</v>
      </c>
      <c r="B52" s="1514"/>
      <c r="C52" s="825">
        <f t="shared" ref="C52:AM52" si="15">+C50+C46</f>
        <v>0</v>
      </c>
      <c r="D52" s="815">
        <f t="shared" si="15"/>
        <v>0</v>
      </c>
      <c r="E52" s="816">
        <f>+E50+E46</f>
        <v>0</v>
      </c>
      <c r="F52" s="816">
        <f t="shared" si="15"/>
        <v>100000</v>
      </c>
      <c r="G52" s="816">
        <f t="shared" si="15"/>
        <v>100000</v>
      </c>
      <c r="H52" s="816">
        <f t="shared" si="15"/>
        <v>150000</v>
      </c>
      <c r="I52" s="816">
        <f t="shared" si="15"/>
        <v>150000</v>
      </c>
      <c r="J52" s="816">
        <f t="shared" si="15"/>
        <v>150000</v>
      </c>
      <c r="K52" s="816">
        <f t="shared" si="15"/>
        <v>150000</v>
      </c>
      <c r="L52" s="816">
        <f t="shared" si="15"/>
        <v>148484.84848484851</v>
      </c>
      <c r="M52" s="816">
        <f t="shared" si="15"/>
        <v>145117.84511784511</v>
      </c>
      <c r="N52" s="816">
        <f t="shared" si="15"/>
        <v>141750.84175084176</v>
      </c>
      <c r="O52" s="816">
        <f t="shared" si="15"/>
        <v>728180.4821757694</v>
      </c>
      <c r="P52" s="817">
        <f t="shared" si="15"/>
        <v>728180.4821757694</v>
      </c>
      <c r="Q52" s="802">
        <f t="shared" si="15"/>
        <v>724813.47880876611</v>
      </c>
      <c r="R52" s="803">
        <f t="shared" si="15"/>
        <v>721446.47544176271</v>
      </c>
      <c r="S52" s="803">
        <f t="shared" si="15"/>
        <v>718079.47207475931</v>
      </c>
      <c r="T52" s="803">
        <f t="shared" si="15"/>
        <v>124915.82491582492</v>
      </c>
      <c r="U52" s="803">
        <f t="shared" si="15"/>
        <v>121548.82154882156</v>
      </c>
      <c r="V52" s="803">
        <f t="shared" si="15"/>
        <v>118181.81818181819</v>
      </c>
      <c r="W52" s="803">
        <f t="shared" si="15"/>
        <v>114814.81481481483</v>
      </c>
      <c r="X52" s="803">
        <f t="shared" si="15"/>
        <v>111447.81144781146</v>
      </c>
      <c r="Y52" s="803">
        <f t="shared" si="15"/>
        <v>108080.80808080808</v>
      </c>
      <c r="Z52" s="803">
        <f t="shared" si="15"/>
        <v>104713.80471380471</v>
      </c>
      <c r="AA52" s="803">
        <f t="shared" si="15"/>
        <v>101346.80134680135</v>
      </c>
      <c r="AB52" s="803">
        <f t="shared" si="15"/>
        <v>1398238.447640643</v>
      </c>
      <c r="AC52" s="804">
        <f t="shared" si="15"/>
        <v>1398238.447640643</v>
      </c>
      <c r="AD52" s="802">
        <f t="shared" si="15"/>
        <v>728180.4821757694</v>
      </c>
      <c r="AE52" s="803">
        <f t="shared" si="15"/>
        <v>1398238.447640643</v>
      </c>
      <c r="AF52" s="803">
        <f t="shared" si="15"/>
        <v>1519862.5202800978</v>
      </c>
      <c r="AG52" s="803">
        <f t="shared" si="15"/>
        <v>1664339.8817114993</v>
      </c>
      <c r="AH52" s="803">
        <f t="shared" si="15"/>
        <v>1834502.4350822901</v>
      </c>
      <c r="AI52" s="803">
        <f t="shared" si="15"/>
        <v>2046278.7688265238</v>
      </c>
      <c r="AJ52" s="803">
        <f t="shared" si="15"/>
        <v>1289135.8735757503</v>
      </c>
      <c r="AK52" s="803">
        <f t="shared" si="15"/>
        <v>1410390.691818753</v>
      </c>
      <c r="AL52" s="803">
        <f t="shared" si="15"/>
        <v>1552139.3230757976</v>
      </c>
      <c r="AM52" s="804">
        <f t="shared" si="15"/>
        <v>1694802.5218336028</v>
      </c>
    </row>
    <row r="53" spans="1:39" ht="13.5" thickBot="1" x14ac:dyDescent="0.25">
      <c r="A53" s="810"/>
      <c r="B53" s="811"/>
      <c r="C53" s="812"/>
      <c r="D53" s="805"/>
      <c r="E53" s="806"/>
      <c r="F53" s="806"/>
      <c r="G53" s="806"/>
      <c r="H53" s="806"/>
      <c r="I53" s="806"/>
      <c r="J53" s="806"/>
      <c r="K53" s="806"/>
      <c r="L53" s="806"/>
      <c r="M53" s="806"/>
      <c r="N53" s="806"/>
      <c r="O53" s="806"/>
      <c r="P53" s="807"/>
      <c r="Q53" s="805"/>
      <c r="R53" s="806"/>
      <c r="S53" s="806"/>
      <c r="T53" s="806"/>
      <c r="U53" s="806"/>
      <c r="V53" s="806"/>
      <c r="W53" s="806"/>
      <c r="X53" s="806"/>
      <c r="Y53" s="806"/>
      <c r="Z53" s="806"/>
      <c r="AA53" s="806"/>
      <c r="AB53" s="806"/>
      <c r="AC53" s="807"/>
      <c r="AD53" s="805"/>
      <c r="AE53" s="806"/>
      <c r="AF53" s="806"/>
      <c r="AG53" s="806"/>
      <c r="AH53" s="806"/>
      <c r="AI53" s="806"/>
      <c r="AJ53" s="806"/>
      <c r="AK53" s="806"/>
      <c r="AL53" s="806"/>
      <c r="AM53" s="807"/>
    </row>
    <row r="54" spans="1:39" x14ac:dyDescent="0.2">
      <c r="A54" s="1516" t="s">
        <v>33</v>
      </c>
      <c r="B54" s="1517"/>
      <c r="C54" s="1518"/>
      <c r="D54" s="1521" t="str">
        <f>+A54</f>
        <v>Capital:</v>
      </c>
      <c r="E54" s="1521"/>
      <c r="F54" s="1521"/>
      <c r="G54" s="1521"/>
      <c r="H54" s="1521"/>
      <c r="I54" s="1521"/>
      <c r="J54" s="1521"/>
      <c r="K54" s="1521"/>
      <c r="L54" s="1521"/>
      <c r="M54" s="1521"/>
      <c r="N54" s="1521"/>
      <c r="O54" s="1521"/>
      <c r="P54" s="1522"/>
      <c r="Q54" s="1523" t="str">
        <f>+D54</f>
        <v>Capital:</v>
      </c>
      <c r="R54" s="1521"/>
      <c r="S54" s="1521"/>
      <c r="T54" s="1521"/>
      <c r="U54" s="1521"/>
      <c r="V54" s="1521"/>
      <c r="W54" s="1521"/>
      <c r="X54" s="1521"/>
      <c r="Y54" s="1521"/>
      <c r="Z54" s="1521"/>
      <c r="AA54" s="1521"/>
      <c r="AB54" s="1521"/>
      <c r="AC54" s="1522"/>
      <c r="AD54" s="1524" t="str">
        <f>+Q54</f>
        <v>Capital:</v>
      </c>
      <c r="AE54" s="1525"/>
      <c r="AF54" s="1525"/>
      <c r="AG54" s="1525"/>
      <c r="AH54" s="1525"/>
      <c r="AI54" s="1525"/>
      <c r="AJ54" s="1525"/>
      <c r="AK54" s="1525"/>
      <c r="AL54" s="1525"/>
      <c r="AM54" s="1526"/>
    </row>
    <row r="55" spans="1:39" x14ac:dyDescent="0.2">
      <c r="A55" s="794"/>
      <c r="B55" s="795" t="s">
        <v>34</v>
      </c>
      <c r="C55" s="796">
        <f>+'7 Balance Inicial'!E30</f>
        <v>1894000</v>
      </c>
      <c r="D55" s="714">
        <f>IF(D70=0,0,IF(C70=1,C55+'5 Estado de Fuentes y Usos'!C13+'5 Estado de Fuentes y Usos'!C16,+$C$55))</f>
        <v>0</v>
      </c>
      <c r="E55" s="714">
        <f>IF(E70=0,0,IF(D70=1,D55+'5 Estado de Fuentes y Usos'!D13+'5 Estado de Fuentes y Usos'!D16,+$C$55))</f>
        <v>1894000</v>
      </c>
      <c r="F55" s="714">
        <f>IF(F70=0,0,IF(E70=1,E55+'5 Estado de Fuentes y Usos'!E13+'5 Estado de Fuentes y Usos'!E16,+$C$55))</f>
        <v>1894000</v>
      </c>
      <c r="G55" s="714">
        <f>IF(G70=0,0,IF(F70=1,F55+'5 Estado de Fuentes y Usos'!F13+'5 Estado de Fuentes y Usos'!F16,+$C$55))</f>
        <v>1894000</v>
      </c>
      <c r="H55" s="714">
        <f>IF(H70=0,0,IF(G70=1,G55+'5 Estado de Fuentes y Usos'!G13+'5 Estado de Fuentes y Usos'!G16,+$C$55))</f>
        <v>1894000</v>
      </c>
      <c r="I55" s="714">
        <f>IF(I70=0,0,IF(H70=1,H55+'5 Estado de Fuentes y Usos'!H13+'5 Estado de Fuentes y Usos'!H16,+$C$55))</f>
        <v>2044000</v>
      </c>
      <c r="J55" s="714">
        <f>IF(J70=0,0,IF(I70=1,I55+'5 Estado de Fuentes y Usos'!I13+'5 Estado de Fuentes y Usos'!I16,+$C$55))</f>
        <v>2044000</v>
      </c>
      <c r="K55" s="714">
        <f>IF(K70=0,0,IF(J70=1,J55+'5 Estado de Fuentes y Usos'!J13+'5 Estado de Fuentes y Usos'!J16,+$C$55))</f>
        <v>2044000</v>
      </c>
      <c r="L55" s="714">
        <f>IF(L70=0,0,IF(K70=1,K55+'5 Estado de Fuentes y Usos'!K13+'5 Estado de Fuentes y Usos'!K16,+$C$55))</f>
        <v>2044000</v>
      </c>
      <c r="M55" s="714">
        <f>IF(M70=0,0,IF(L70=1,L55+'5 Estado de Fuentes y Usos'!L13+'5 Estado de Fuentes y Usos'!L16,+$C$55))</f>
        <v>2044000</v>
      </c>
      <c r="N55" s="714">
        <f>IF(N70=0,0,IF(M70=1,M55+'5 Estado de Fuentes y Usos'!M13+'5 Estado de Fuentes y Usos'!M16,+$C$55))</f>
        <v>2044000</v>
      </c>
      <c r="O55" s="714">
        <f>IF(O70=0,0,IF(N70=1,N55+'5 Estado de Fuentes y Usos'!N13+'5 Estado de Fuentes y Usos'!N16,+$C$55))</f>
        <v>2044000</v>
      </c>
      <c r="P55" s="819">
        <f>IF(P70=0,0,IF(O70=1,O55+'5 Estado de Fuentes y Usos'!O13,+$C$55))</f>
        <v>2044000</v>
      </c>
      <c r="Q55" s="714">
        <f>IF(Q70=0,0,IF(O70=1,P55+'5 Estado de Fuentes y Usos'!P13+'5 Estado de Fuentes y Usos'!P16,+$C$55))</f>
        <v>2044000</v>
      </c>
      <c r="R55" s="714">
        <f>IF(R70=0,0,IF(Q70=1,Q55+'5 Estado de Fuentes y Usos'!Q13,+$C$55))</f>
        <v>2044000</v>
      </c>
      <c r="S55" s="714">
        <f>IF(S70=0,0,IF(R70=1,R55+'5 Estado de Fuentes y Usos'!R13,+$C$55))</f>
        <v>2044000</v>
      </c>
      <c r="T55" s="714">
        <f>IF(T70=0,0,IF(S70=1,S55+'5 Estado de Fuentes y Usos'!S13,+$C$55))</f>
        <v>2044000</v>
      </c>
      <c r="U55" s="714">
        <f>IF(U70=0,0,IF(T70=1,T55+'5 Estado de Fuentes y Usos'!T13,+$C$55))</f>
        <v>2044000</v>
      </c>
      <c r="V55" s="714">
        <f>IF(V70=0,0,IF(U70=1,U55+'5 Estado de Fuentes y Usos'!U13,+$C$55))</f>
        <v>2044000</v>
      </c>
      <c r="W55" s="714">
        <f>IF(W70=0,0,IF(V70=1,V55+'5 Estado de Fuentes y Usos'!V13,+$C$55))</f>
        <v>2044000</v>
      </c>
      <c r="X55" s="714">
        <f>IF(X70=0,0,IF(W70=1,W55+'5 Estado de Fuentes y Usos'!W13,+$C$55))</f>
        <v>2044000</v>
      </c>
      <c r="Y55" s="714">
        <f>IF(Y70=0,0,IF(X70=1,X55+'5 Estado de Fuentes y Usos'!X13,+$C$55))</f>
        <v>2044000</v>
      </c>
      <c r="Z55" s="714">
        <f>IF(Z70=0,0,IF(Y70=1,Y55+'5 Estado de Fuentes y Usos'!Y13,+$C$55))</f>
        <v>2044000</v>
      </c>
      <c r="AA55" s="714">
        <f>IF(AA70=0,0,IF(Z70=1,Z55+'5 Estado de Fuentes y Usos'!Z13,+$C$55))</f>
        <v>2044000</v>
      </c>
      <c r="AB55" s="714">
        <f>IF(AB70=0,0,IF(AA70=1,AA55+'5 Estado de Fuentes y Usos'!AA13,+$C$55))</f>
        <v>2044000</v>
      </c>
      <c r="AC55" s="819">
        <f>IF(AC70=0,0,IF(AB70=1,AB55+'5 Estado de Fuentes y Usos'!AB13,+$C$55))</f>
        <v>2044000</v>
      </c>
      <c r="AD55" s="714">
        <f t="shared" ref="AD55:AM55" si="16">+AC55</f>
        <v>2044000</v>
      </c>
      <c r="AE55" s="714">
        <f t="shared" si="16"/>
        <v>2044000</v>
      </c>
      <c r="AF55" s="714">
        <f t="shared" si="16"/>
        <v>2044000</v>
      </c>
      <c r="AG55" s="714">
        <f t="shared" si="16"/>
        <v>2044000</v>
      </c>
      <c r="AH55" s="714">
        <f t="shared" si="16"/>
        <v>2044000</v>
      </c>
      <c r="AI55" s="714">
        <f>+AH55</f>
        <v>2044000</v>
      </c>
      <c r="AJ55" s="714">
        <f>+AI55+AI58</f>
        <v>1894000</v>
      </c>
      <c r="AK55" s="714">
        <f t="shared" si="16"/>
        <v>1894000</v>
      </c>
      <c r="AL55" s="714">
        <f t="shared" si="16"/>
        <v>1894000</v>
      </c>
      <c r="AM55" s="714">
        <f t="shared" si="16"/>
        <v>1894000</v>
      </c>
    </row>
    <row r="56" spans="1:39" x14ac:dyDescent="0.2">
      <c r="A56" s="794"/>
      <c r="B56" s="795" t="s">
        <v>35</v>
      </c>
      <c r="C56" s="798">
        <f>+'7 Balance Inicial'!E31</f>
        <v>0</v>
      </c>
      <c r="D56" s="795">
        <f>+'4 Estado de Resultados'!D28</f>
        <v>0</v>
      </c>
      <c r="E56" s="714">
        <f>+'4 Estado de Resultados'!E28</f>
        <v>0</v>
      </c>
      <c r="F56" s="714">
        <f>+'4 Estado de Resultados'!F28</f>
        <v>-243649</v>
      </c>
      <c r="G56" s="714">
        <f>+'4 Estado de Resultados'!G28</f>
        <v>-225674</v>
      </c>
      <c r="H56" s="714">
        <f>+'4 Estado de Resultados'!H28</f>
        <v>-398355</v>
      </c>
      <c r="I56" s="714">
        <f>+'4 Estado de Resultados'!I28</f>
        <v>275747.58804373757</v>
      </c>
      <c r="J56" s="714">
        <f>+'4 Estado de Resultados'!J28</f>
        <v>215624.9373481053</v>
      </c>
      <c r="K56" s="714">
        <f>+'4 Estado de Resultados'!K28</f>
        <v>159543.34490496415</v>
      </c>
      <c r="L56" s="714">
        <f>+'4 Estado de Resultados'!L28</f>
        <v>206235.58750494837</v>
      </c>
      <c r="M56" s="714">
        <f>+'4 Estado de Resultados'!M28</f>
        <v>573570.59179088194</v>
      </c>
      <c r="N56" s="714">
        <f>+'4 Estado de Resultados'!N28</f>
        <v>790997.21836688451</v>
      </c>
      <c r="O56" s="714">
        <f>+'4 Estado de Resultados'!O28</f>
        <v>437316.25850107241</v>
      </c>
      <c r="P56" s="819">
        <f>+O56+O57</f>
        <v>1791357.5264605943</v>
      </c>
      <c r="Q56" s="305">
        <f>+'4 Estado de Resultados'!Q28</f>
        <v>171841.45879797975</v>
      </c>
      <c r="R56" s="714">
        <f>+'4 Estado de Resultados'!R28</f>
        <v>402114.71882154862</v>
      </c>
      <c r="S56" s="714">
        <f>+'4 Estado de Resultados'!S28</f>
        <v>387954.35759511776</v>
      </c>
      <c r="T56" s="714">
        <f>+'4 Estado de Resultados'!T28</f>
        <v>396601.66236868675</v>
      </c>
      <c r="U56" s="714">
        <f>+'4 Estado de Resultados'!U28</f>
        <v>582546.96389225579</v>
      </c>
      <c r="V56" s="714">
        <f>+'4 Estado de Resultados'!V28</f>
        <v>296244.53491582489</v>
      </c>
      <c r="W56" s="714">
        <f>+'4 Estado de Resultados'!W28</f>
        <v>228189.87343939388</v>
      </c>
      <c r="X56" s="714">
        <f>+'4 Estado de Resultados'!X28</f>
        <v>159670.69196296291</v>
      </c>
      <c r="Y56" s="714">
        <f>+'4 Estado de Resultados'!Y28</f>
        <v>207343.75098653196</v>
      </c>
      <c r="Z56" s="714">
        <f>+'4 Estado de Resultados'!Z28</f>
        <v>579882.30901010102</v>
      </c>
      <c r="AA56" s="714">
        <f>+'4 Estado de Resultados'!AA28</f>
        <v>798677.59903367003</v>
      </c>
      <c r="AB56" s="691">
        <f>+'4 Estado de Resultados'!AB28</f>
        <v>-261862.47360360669</v>
      </c>
      <c r="AC56" s="819">
        <f>+'4 Estado de Resultados'!AC28</f>
        <v>3949205.447220468</v>
      </c>
      <c r="AD56" s="794">
        <f>+'4 Estado de Resultados'!AD28</f>
        <v>1791357.5264605943</v>
      </c>
      <c r="AE56" s="714">
        <f>+'4 Estado de Resultados'!AE28</f>
        <v>3949205.447220468</v>
      </c>
      <c r="AF56" s="714">
        <f>+'4 Estado de Resultados'!AF28</f>
        <v>4441324.6934959143</v>
      </c>
      <c r="AG56" s="714">
        <f>+'4 Estado de Resultados'!AG28</f>
        <v>4970641.7851982443</v>
      </c>
      <c r="AH56" s="714">
        <f>+'4 Estado de Resultados'!AH28</f>
        <v>5554961.6848831177</v>
      </c>
      <c r="AI56" s="714">
        <f>+'4 Estado de Resultados'!AI28</f>
        <v>6215052.107124351</v>
      </c>
      <c r="AJ56" s="714">
        <f>+'4 Estado de Resultados'!AJ28</f>
        <v>7734815.2414545007</v>
      </c>
      <c r="AK56" s="714">
        <f>+'4 Estado de Resultados'!AK28</f>
        <v>8462344.1509125177</v>
      </c>
      <c r="AL56" s="714">
        <f>+'4 Estado de Resultados'!AL28</f>
        <v>9312835.9384547863</v>
      </c>
      <c r="AM56" s="798">
        <f>+'4 Estado de Resultados'!AM28</f>
        <v>10168815.131001618</v>
      </c>
    </row>
    <row r="57" spans="1:39" x14ac:dyDescent="0.2">
      <c r="A57" s="794"/>
      <c r="B57" s="795" t="s">
        <v>36</v>
      </c>
      <c r="C57" s="798">
        <f>+'7 Balance Inicial'!E32</f>
        <v>0</v>
      </c>
      <c r="D57" s="691"/>
      <c r="E57" s="714">
        <f>+D56</f>
        <v>0</v>
      </c>
      <c r="F57" s="714">
        <f>+E57+E56</f>
        <v>0</v>
      </c>
      <c r="G57" s="714">
        <f t="shared" ref="G57:O57" si="17">+F57+F56</f>
        <v>-243649</v>
      </c>
      <c r="H57" s="714">
        <f t="shared" si="17"/>
        <v>-469323</v>
      </c>
      <c r="I57" s="714">
        <f t="shared" si="17"/>
        <v>-867678</v>
      </c>
      <c r="J57" s="714">
        <f t="shared" si="17"/>
        <v>-591930.41195626243</v>
      </c>
      <c r="K57" s="714">
        <f t="shared" si="17"/>
        <v>-376305.47460815712</v>
      </c>
      <c r="L57" s="714">
        <f t="shared" si="17"/>
        <v>-216762.12970319297</v>
      </c>
      <c r="M57" s="714">
        <f>+L57+L56</f>
        <v>-10526.542198244599</v>
      </c>
      <c r="N57" s="714">
        <f t="shared" si="17"/>
        <v>563044.04959263734</v>
      </c>
      <c r="O57" s="714">
        <f t="shared" si="17"/>
        <v>1354041.2679595219</v>
      </c>
      <c r="P57" s="819"/>
      <c r="Q57" s="305">
        <f>+O56+O57</f>
        <v>1791357.5264605943</v>
      </c>
      <c r="R57" s="795">
        <f>+Q56+Q57</f>
        <v>1963198.9852585741</v>
      </c>
      <c r="S57" s="714">
        <f t="shared" ref="S57:AB57" si="18">+R56+R57</f>
        <v>2365313.7040801225</v>
      </c>
      <c r="T57" s="714">
        <f t="shared" si="18"/>
        <v>2753268.0616752403</v>
      </c>
      <c r="U57" s="714">
        <f t="shared" si="18"/>
        <v>3149869.7240439272</v>
      </c>
      <c r="V57" s="714">
        <f t="shared" si="18"/>
        <v>3732416.6879361831</v>
      </c>
      <c r="W57" s="714">
        <f t="shared" si="18"/>
        <v>4028661.222852008</v>
      </c>
      <c r="X57" s="714">
        <f t="shared" si="18"/>
        <v>4256851.0962914014</v>
      </c>
      <c r="Y57" s="714">
        <f t="shared" si="18"/>
        <v>4416521.7882543644</v>
      </c>
      <c r="Z57" s="714">
        <f t="shared" si="18"/>
        <v>4623865.5392408967</v>
      </c>
      <c r="AA57" s="714">
        <f t="shared" si="18"/>
        <v>5203747.8482509982</v>
      </c>
      <c r="AB57" s="714">
        <f t="shared" si="18"/>
        <v>6002425.4472846687</v>
      </c>
      <c r="AC57" s="819">
        <f>+P56</f>
        <v>1791357.5264605943</v>
      </c>
      <c r="AD57" s="794"/>
      <c r="AE57" s="714">
        <f>+AD56+AD57</f>
        <v>1791357.5264605943</v>
      </c>
      <c r="AF57" s="714">
        <f>+AE56+AE57</f>
        <v>5740562.9736810625</v>
      </c>
      <c r="AG57" s="714">
        <f t="shared" ref="AG57:AL57" si="19">+AF56+AF57</f>
        <v>10181887.667176977</v>
      </c>
      <c r="AH57" s="714">
        <f t="shared" si="19"/>
        <v>15152529.452375222</v>
      </c>
      <c r="AI57" s="714">
        <f t="shared" si="19"/>
        <v>20707491.13725834</v>
      </c>
      <c r="AJ57" s="714">
        <f t="shared" si="19"/>
        <v>26922543.244382691</v>
      </c>
      <c r="AK57" s="714">
        <f t="shared" si="19"/>
        <v>34657358.485837191</v>
      </c>
      <c r="AL57" s="714">
        <f t="shared" si="19"/>
        <v>43119702.636749707</v>
      </c>
      <c r="AM57" s="796">
        <f>+AL56+AL57</f>
        <v>52432538.575204492</v>
      </c>
    </row>
    <row r="58" spans="1:39" x14ac:dyDescent="0.2">
      <c r="A58" s="826"/>
      <c r="B58" s="827" t="s">
        <v>546</v>
      </c>
      <c r="C58" s="828"/>
      <c r="D58" s="829"/>
      <c r="E58" s="830"/>
      <c r="F58" s="830"/>
      <c r="G58" s="830"/>
      <c r="H58" s="830"/>
      <c r="I58" s="830"/>
      <c r="J58" s="830"/>
      <c r="K58" s="830"/>
      <c r="L58" s="830"/>
      <c r="M58" s="830"/>
      <c r="N58" s="830"/>
      <c r="O58" s="830"/>
      <c r="P58" s="831"/>
      <c r="Q58" s="832"/>
      <c r="R58" s="827"/>
      <c r="S58" s="830"/>
      <c r="T58" s="830"/>
      <c r="U58" s="830"/>
      <c r="V58" s="830"/>
      <c r="W58" s="830"/>
      <c r="X58" s="830"/>
      <c r="Y58" s="830"/>
      <c r="Z58" s="830"/>
      <c r="AA58" s="830"/>
      <c r="AB58" s="829"/>
      <c r="AC58" s="831"/>
      <c r="AD58" s="830">
        <f>-'5 Estado de Fuentes y Usos'!AC50</f>
        <v>0</v>
      </c>
      <c r="AE58" s="830">
        <f>-'5 Estado de Fuentes y Usos'!AD50</f>
        <v>0</v>
      </c>
      <c r="AF58" s="830">
        <f>-'5 Estado de Fuentes y Usos'!AE50</f>
        <v>0</v>
      </c>
      <c r="AG58" s="830">
        <f>-'5 Estado de Fuentes y Usos'!AF50</f>
        <v>0</v>
      </c>
      <c r="AH58" s="830">
        <f>-'5 Estado de Fuentes y Usos'!AG50</f>
        <v>0</v>
      </c>
      <c r="AI58" s="830">
        <f>-'5 Estado de Fuentes y Usos'!AH50</f>
        <v>-150000</v>
      </c>
      <c r="AJ58" s="830">
        <f>'5 Estado de Fuentes y Usos'!AI50</f>
        <v>0</v>
      </c>
      <c r="AK58" s="830">
        <f>'5 Estado de Fuentes y Usos'!AJ50</f>
        <v>0</v>
      </c>
      <c r="AL58" s="830">
        <f>-'5 Estado de Fuentes y Usos'!AL50</f>
        <v>0</v>
      </c>
      <c r="AM58" s="830">
        <f>-'5 Estado de Fuentes y Usos'!AM50</f>
        <v>0</v>
      </c>
    </row>
    <row r="59" spans="1:39" ht="13.5" thickBot="1" x14ac:dyDescent="0.25">
      <c r="A59" s="1511" t="s">
        <v>172</v>
      </c>
      <c r="B59" s="1512"/>
      <c r="C59" s="804">
        <f>SUM(C55:C57)</f>
        <v>1894000</v>
      </c>
      <c r="D59" s="809">
        <f>SUM(D55:D57)</f>
        <v>0</v>
      </c>
      <c r="E59" s="803">
        <f>SUM(E55:E57)</f>
        <v>1894000</v>
      </c>
      <c r="F59" s="803">
        <f>SUM(F55:F57)</f>
        <v>1650351</v>
      </c>
      <c r="G59" s="803">
        <f>SUM(G55:G57)</f>
        <v>1424677</v>
      </c>
      <c r="H59" s="803">
        <f t="shared" ref="H59:O59" si="20">SUM(H55:H57)</f>
        <v>1026322</v>
      </c>
      <c r="I59" s="803">
        <f t="shared" si="20"/>
        <v>1452069.5880437377</v>
      </c>
      <c r="J59" s="803">
        <f t="shared" si="20"/>
        <v>1667694.5253918432</v>
      </c>
      <c r="K59" s="803">
        <f t="shared" si="20"/>
        <v>1827237.8702968073</v>
      </c>
      <c r="L59" s="803">
        <f t="shared" si="20"/>
        <v>2033473.4578017555</v>
      </c>
      <c r="M59" s="803">
        <f>SUM(M55:M57)</f>
        <v>2607044.0495926375</v>
      </c>
      <c r="N59" s="803">
        <f t="shared" si="20"/>
        <v>3398041.2679595221</v>
      </c>
      <c r="O59" s="803">
        <f t="shared" si="20"/>
        <v>3835357.5264605945</v>
      </c>
      <c r="P59" s="804">
        <f>SUM(P55:P57)</f>
        <v>3835357.5264605945</v>
      </c>
      <c r="Q59" s="802">
        <f>SUM(Q55:Q57)</f>
        <v>4007198.9852585737</v>
      </c>
      <c r="R59" s="803">
        <f t="shared" ref="R59:AB59" si="21">SUM(R55:R57)</f>
        <v>4409313.7040801235</v>
      </c>
      <c r="S59" s="803">
        <f t="shared" si="21"/>
        <v>4797268.0616752403</v>
      </c>
      <c r="T59" s="803">
        <f t="shared" si="21"/>
        <v>5193869.7240439272</v>
      </c>
      <c r="U59" s="803">
        <f t="shared" si="21"/>
        <v>5776416.6879361831</v>
      </c>
      <c r="V59" s="803">
        <f t="shared" si="21"/>
        <v>6072661.2228520084</v>
      </c>
      <c r="W59" s="803">
        <f t="shared" si="21"/>
        <v>6300851.0962914024</v>
      </c>
      <c r="X59" s="803">
        <f t="shared" si="21"/>
        <v>6460521.7882543644</v>
      </c>
      <c r="Y59" s="803">
        <f t="shared" si="21"/>
        <v>6667865.5392408967</v>
      </c>
      <c r="Z59" s="803">
        <f t="shared" si="21"/>
        <v>7247747.8482509982</v>
      </c>
      <c r="AA59" s="803">
        <f t="shared" si="21"/>
        <v>8046425.4472846687</v>
      </c>
      <c r="AB59" s="809">
        <f t="shared" si="21"/>
        <v>7784562.9736810625</v>
      </c>
      <c r="AC59" s="804">
        <f>SUM(AC55:AC57)</f>
        <v>7784562.9736810625</v>
      </c>
      <c r="AD59" s="803">
        <f>SUM(AD55:AD57)</f>
        <v>3835357.5264605945</v>
      </c>
      <c r="AE59" s="803">
        <f>SUM(AE55:AE57)</f>
        <v>7784562.9736810625</v>
      </c>
      <c r="AF59" s="803">
        <f>SUM(AF55:AF57)</f>
        <v>12225887.667176977</v>
      </c>
      <c r="AG59" s="803">
        <f t="shared" ref="AG59:AM59" si="22">SUM(AG55:AG57)</f>
        <v>17196529.452375222</v>
      </c>
      <c r="AH59" s="803">
        <f t="shared" si="22"/>
        <v>22751491.13725834</v>
      </c>
      <c r="AI59" s="803">
        <f>SUM(AI55:AI58)</f>
        <v>28816543.244382691</v>
      </c>
      <c r="AJ59" s="803">
        <f t="shared" si="22"/>
        <v>36551358.485837191</v>
      </c>
      <c r="AK59" s="803">
        <f t="shared" si="22"/>
        <v>45013702.636749707</v>
      </c>
      <c r="AL59" s="803">
        <f>SUM(AL55:AL58)</f>
        <v>54326538.575204492</v>
      </c>
      <c r="AM59" s="804">
        <f t="shared" si="22"/>
        <v>64495353.706206113</v>
      </c>
    </row>
    <row r="60" spans="1:39" ht="13.5" thickBot="1" x14ac:dyDescent="0.25">
      <c r="A60" s="833"/>
      <c r="B60" s="812"/>
      <c r="C60" s="812"/>
      <c r="D60" s="805"/>
      <c r="E60" s="806"/>
      <c r="F60" s="806"/>
      <c r="G60" s="806"/>
      <c r="H60" s="806"/>
      <c r="I60" s="806"/>
      <c r="J60" s="806"/>
      <c r="K60" s="806"/>
      <c r="L60" s="806"/>
      <c r="M60" s="806"/>
      <c r="N60" s="806"/>
      <c r="O60" s="806"/>
      <c r="P60" s="807"/>
      <c r="Q60" s="805"/>
      <c r="R60" s="806"/>
      <c r="S60" s="806"/>
      <c r="T60" s="806"/>
      <c r="U60" s="806"/>
      <c r="V60" s="806"/>
      <c r="W60" s="806"/>
      <c r="X60" s="806"/>
      <c r="Y60" s="806"/>
      <c r="Z60" s="806"/>
      <c r="AA60" s="806"/>
      <c r="AB60" s="806"/>
      <c r="AC60" s="807"/>
      <c r="AD60" s="805"/>
      <c r="AE60" s="806"/>
      <c r="AF60" s="806"/>
      <c r="AG60" s="806"/>
      <c r="AH60" s="806"/>
      <c r="AI60" s="806"/>
      <c r="AJ60" s="806"/>
      <c r="AK60" s="806"/>
      <c r="AL60" s="806"/>
      <c r="AM60" s="807"/>
    </row>
    <row r="61" spans="1:39" ht="15.75" customHeight="1" thickBot="1" x14ac:dyDescent="0.25">
      <c r="A61" s="1509" t="s">
        <v>105</v>
      </c>
      <c r="B61" s="1510"/>
      <c r="C61" s="814">
        <f t="shared" ref="C61:AM61" si="23">+C59+C52</f>
        <v>1894000</v>
      </c>
      <c r="D61" s="815">
        <f t="shared" si="23"/>
        <v>0</v>
      </c>
      <c r="E61" s="816">
        <f t="shared" si="23"/>
        <v>1894000</v>
      </c>
      <c r="F61" s="816">
        <f t="shared" si="23"/>
        <v>1750351</v>
      </c>
      <c r="G61" s="816">
        <f t="shared" si="23"/>
        <v>1524677</v>
      </c>
      <c r="H61" s="816">
        <f t="shared" si="23"/>
        <v>1176322</v>
      </c>
      <c r="I61" s="816">
        <f t="shared" si="23"/>
        <v>1602069.5880437377</v>
      </c>
      <c r="J61" s="816">
        <f t="shared" si="23"/>
        <v>1817694.5253918432</v>
      </c>
      <c r="K61" s="816">
        <f t="shared" si="23"/>
        <v>1977237.8702968073</v>
      </c>
      <c r="L61" s="816">
        <f t="shared" si="23"/>
        <v>2181958.3062866041</v>
      </c>
      <c r="M61" s="816">
        <f t="shared" si="23"/>
        <v>2752161.8947104826</v>
      </c>
      <c r="N61" s="816">
        <f t="shared" si="23"/>
        <v>3539792.1097103637</v>
      </c>
      <c r="O61" s="816">
        <f t="shared" si="23"/>
        <v>4563538.0086363638</v>
      </c>
      <c r="P61" s="817">
        <f t="shared" si="23"/>
        <v>4563538.0086363638</v>
      </c>
      <c r="Q61" s="815">
        <f t="shared" si="23"/>
        <v>4732012.4640673399</v>
      </c>
      <c r="R61" s="816">
        <f t="shared" si="23"/>
        <v>5130760.1795218866</v>
      </c>
      <c r="S61" s="816">
        <f t="shared" si="23"/>
        <v>5515347.5337499995</v>
      </c>
      <c r="T61" s="816">
        <f t="shared" si="23"/>
        <v>5318785.5489597525</v>
      </c>
      <c r="U61" s="816">
        <f t="shared" si="23"/>
        <v>5897965.5094850045</v>
      </c>
      <c r="V61" s="816">
        <f t="shared" si="23"/>
        <v>6190843.0410338268</v>
      </c>
      <c r="W61" s="816">
        <f t="shared" si="23"/>
        <v>6415665.9111062177</v>
      </c>
      <c r="X61" s="816">
        <f t="shared" si="23"/>
        <v>6571969.5997021757</v>
      </c>
      <c r="Y61" s="816">
        <f t="shared" si="23"/>
        <v>6775946.347321705</v>
      </c>
      <c r="Z61" s="816">
        <f t="shared" si="23"/>
        <v>7352461.6529648025</v>
      </c>
      <c r="AA61" s="816">
        <f t="shared" si="23"/>
        <v>8147772.2486314699</v>
      </c>
      <c r="AB61" s="816">
        <f t="shared" si="23"/>
        <v>9182801.421321705</v>
      </c>
      <c r="AC61" s="817">
        <f t="shared" si="23"/>
        <v>9182801.421321705</v>
      </c>
      <c r="AD61" s="815">
        <f t="shared" si="23"/>
        <v>4563538.0086363638</v>
      </c>
      <c r="AE61" s="816">
        <f t="shared" si="23"/>
        <v>9182801.421321705</v>
      </c>
      <c r="AF61" s="816">
        <f t="shared" si="23"/>
        <v>13745750.187457075</v>
      </c>
      <c r="AG61" s="816">
        <f t="shared" si="23"/>
        <v>18860869.33408672</v>
      </c>
      <c r="AH61" s="816">
        <f t="shared" si="23"/>
        <v>24585993.57234063</v>
      </c>
      <c r="AI61" s="816">
        <f t="shared" si="23"/>
        <v>30862822.013209216</v>
      </c>
      <c r="AJ61" s="816">
        <f t="shared" si="23"/>
        <v>37840494.359412938</v>
      </c>
      <c r="AK61" s="816">
        <f t="shared" si="23"/>
        <v>46424093.328568459</v>
      </c>
      <c r="AL61" s="816">
        <f t="shared" si="23"/>
        <v>55878677.898280293</v>
      </c>
      <c r="AM61" s="817">
        <f t="shared" si="23"/>
        <v>66190156.228039719</v>
      </c>
    </row>
    <row r="62" spans="1:39" x14ac:dyDescent="0.2">
      <c r="A62" s="617"/>
      <c r="B62" s="617"/>
      <c r="C62" s="617"/>
      <c r="D62" s="617"/>
      <c r="E62" s="617"/>
      <c r="F62" s="617"/>
      <c r="G62" s="617"/>
      <c r="H62" s="617"/>
      <c r="I62" s="617"/>
      <c r="J62" s="617"/>
      <c r="K62" s="617"/>
      <c r="L62" s="617"/>
      <c r="M62" s="617"/>
      <c r="N62" s="617"/>
      <c r="O62" s="617"/>
      <c r="P62" s="617"/>
      <c r="Q62" s="617"/>
      <c r="R62" s="617"/>
      <c r="S62" s="617"/>
      <c r="T62" s="617"/>
      <c r="U62" s="617"/>
      <c r="V62" s="617"/>
      <c r="W62" s="617"/>
      <c r="X62" s="617"/>
      <c r="Y62" s="617"/>
      <c r="Z62" s="617"/>
      <c r="AA62" s="617"/>
      <c r="AB62" s="617"/>
      <c r="AC62" s="617"/>
      <c r="AD62" s="617"/>
      <c r="AE62" s="617"/>
      <c r="AF62" s="617"/>
      <c r="AG62" s="617"/>
      <c r="AH62" s="617"/>
      <c r="AI62" s="617"/>
      <c r="AJ62" s="617"/>
      <c r="AK62" s="617"/>
      <c r="AL62" s="617"/>
      <c r="AM62" s="617"/>
    </row>
    <row r="63" spans="1:39" x14ac:dyDescent="0.2">
      <c r="A63" s="617"/>
      <c r="B63" s="617"/>
      <c r="C63" s="617">
        <f t="shared" ref="C63:AM63" si="24">+C37-C61</f>
        <v>0</v>
      </c>
      <c r="D63" s="617">
        <f t="shared" si="24"/>
        <v>0</v>
      </c>
      <c r="E63" s="617">
        <f t="shared" si="24"/>
        <v>0</v>
      </c>
      <c r="F63" s="617">
        <f t="shared" si="24"/>
        <v>0</v>
      </c>
      <c r="G63" s="617">
        <f t="shared" si="24"/>
        <v>0</v>
      </c>
      <c r="H63" s="617">
        <f t="shared" si="24"/>
        <v>0</v>
      </c>
      <c r="I63" s="617">
        <f t="shared" si="24"/>
        <v>0</v>
      </c>
      <c r="J63" s="617">
        <f t="shared" si="24"/>
        <v>0</v>
      </c>
      <c r="K63" s="617">
        <f t="shared" si="24"/>
        <v>0</v>
      </c>
      <c r="L63" s="617">
        <f t="shared" si="24"/>
        <v>0</v>
      </c>
      <c r="M63" s="617">
        <f t="shared" si="24"/>
        <v>0</v>
      </c>
      <c r="N63" s="617">
        <f t="shared" si="24"/>
        <v>0</v>
      </c>
      <c r="O63" s="617">
        <f t="shared" si="24"/>
        <v>0</v>
      </c>
      <c r="P63" s="617">
        <f t="shared" si="24"/>
        <v>0</v>
      </c>
      <c r="Q63" s="617">
        <f t="shared" si="24"/>
        <v>0</v>
      </c>
      <c r="R63" s="617">
        <f t="shared" si="24"/>
        <v>0</v>
      </c>
      <c r="S63" s="617">
        <f t="shared" si="24"/>
        <v>0</v>
      </c>
      <c r="T63" s="617">
        <f t="shared" si="24"/>
        <v>0</v>
      </c>
      <c r="U63" s="617">
        <f t="shared" si="24"/>
        <v>0</v>
      </c>
      <c r="V63" s="617">
        <f t="shared" si="24"/>
        <v>0</v>
      </c>
      <c r="W63" s="617">
        <f t="shared" si="24"/>
        <v>0</v>
      </c>
      <c r="X63" s="617">
        <f t="shared" si="24"/>
        <v>0</v>
      </c>
      <c r="Y63" s="617">
        <f t="shared" si="24"/>
        <v>0</v>
      </c>
      <c r="Z63" s="617">
        <f t="shared" si="24"/>
        <v>0</v>
      </c>
      <c r="AA63" s="617">
        <f t="shared" si="24"/>
        <v>0</v>
      </c>
      <c r="AB63" s="617">
        <f t="shared" si="24"/>
        <v>0</v>
      </c>
      <c r="AC63" s="617">
        <f t="shared" si="24"/>
        <v>0</v>
      </c>
      <c r="AD63" s="617">
        <f t="shared" si="24"/>
        <v>0</v>
      </c>
      <c r="AE63" s="617">
        <f t="shared" si="24"/>
        <v>0</v>
      </c>
      <c r="AF63" s="617">
        <f t="shared" si="24"/>
        <v>0</v>
      </c>
      <c r="AG63" s="617">
        <f t="shared" si="24"/>
        <v>0</v>
      </c>
      <c r="AH63" s="617">
        <f t="shared" si="24"/>
        <v>0</v>
      </c>
      <c r="AI63" s="617">
        <f t="shared" si="24"/>
        <v>0</v>
      </c>
      <c r="AJ63" s="617">
        <f t="shared" si="24"/>
        <v>0</v>
      </c>
      <c r="AK63" s="617">
        <f t="shared" si="24"/>
        <v>0</v>
      </c>
      <c r="AL63" s="617">
        <f t="shared" si="24"/>
        <v>0</v>
      </c>
      <c r="AM63" s="617">
        <f t="shared" si="24"/>
        <v>0</v>
      </c>
    </row>
    <row r="64" spans="1:39" x14ac:dyDescent="0.2">
      <c r="A64" s="617"/>
      <c r="B64" s="617"/>
      <c r="C64" s="617">
        <f t="shared" ref="C64:AH64" si="25">+C63-B63</f>
        <v>0</v>
      </c>
      <c r="D64" s="617">
        <f t="shared" si="25"/>
        <v>0</v>
      </c>
      <c r="E64" s="617">
        <f t="shared" si="25"/>
        <v>0</v>
      </c>
      <c r="F64" s="617">
        <f t="shared" si="25"/>
        <v>0</v>
      </c>
      <c r="G64" s="617">
        <f t="shared" si="25"/>
        <v>0</v>
      </c>
      <c r="H64" s="617">
        <f t="shared" si="25"/>
        <v>0</v>
      </c>
      <c r="I64" s="617">
        <f t="shared" si="25"/>
        <v>0</v>
      </c>
      <c r="J64" s="617">
        <f t="shared" si="25"/>
        <v>0</v>
      </c>
      <c r="K64" s="617">
        <f t="shared" si="25"/>
        <v>0</v>
      </c>
      <c r="L64" s="617">
        <f t="shared" si="25"/>
        <v>0</v>
      </c>
      <c r="M64" s="617">
        <f t="shared" si="25"/>
        <v>0</v>
      </c>
      <c r="N64" s="617">
        <f t="shared" si="25"/>
        <v>0</v>
      </c>
      <c r="O64" s="617">
        <f t="shared" si="25"/>
        <v>0</v>
      </c>
      <c r="P64" s="617">
        <f t="shared" si="25"/>
        <v>0</v>
      </c>
      <c r="Q64" s="617">
        <f t="shared" si="25"/>
        <v>0</v>
      </c>
      <c r="R64" s="617">
        <f t="shared" si="25"/>
        <v>0</v>
      </c>
      <c r="S64" s="617">
        <f t="shared" si="25"/>
        <v>0</v>
      </c>
      <c r="T64" s="617">
        <f t="shared" si="25"/>
        <v>0</v>
      </c>
      <c r="U64" s="617">
        <f t="shared" si="25"/>
        <v>0</v>
      </c>
      <c r="V64" s="617">
        <f t="shared" si="25"/>
        <v>0</v>
      </c>
      <c r="W64" s="617">
        <f t="shared" si="25"/>
        <v>0</v>
      </c>
      <c r="X64" s="617">
        <f t="shared" si="25"/>
        <v>0</v>
      </c>
      <c r="Y64" s="617">
        <f t="shared" si="25"/>
        <v>0</v>
      </c>
      <c r="Z64" s="617">
        <f t="shared" si="25"/>
        <v>0</v>
      </c>
      <c r="AA64" s="617">
        <f t="shared" si="25"/>
        <v>0</v>
      </c>
      <c r="AB64" s="617">
        <f t="shared" si="25"/>
        <v>0</v>
      </c>
      <c r="AC64" s="617">
        <f t="shared" si="25"/>
        <v>0</v>
      </c>
      <c r="AD64" s="617">
        <f>+AD63-AC63</f>
        <v>0</v>
      </c>
      <c r="AE64" s="617">
        <f t="shared" si="25"/>
        <v>0</v>
      </c>
      <c r="AF64" s="617">
        <f t="shared" si="25"/>
        <v>0</v>
      </c>
      <c r="AG64" s="617">
        <f t="shared" si="25"/>
        <v>0</v>
      </c>
      <c r="AH64" s="617">
        <f t="shared" si="25"/>
        <v>0</v>
      </c>
      <c r="AI64" s="617">
        <f t="shared" ref="AI64" si="26">+AI63-AH63</f>
        <v>0</v>
      </c>
      <c r="AJ64" s="617">
        <f t="shared" ref="AJ64" si="27">+AJ63-AI63</f>
        <v>0</v>
      </c>
      <c r="AK64" s="617">
        <f t="shared" ref="AK64" si="28">+AK63-AJ63</f>
        <v>0</v>
      </c>
      <c r="AL64" s="617">
        <f t="shared" ref="AL64" si="29">+AL63-AK63</f>
        <v>0</v>
      </c>
      <c r="AM64" s="617">
        <f t="shared" ref="AM64" si="30">+AM63-AL63</f>
        <v>0</v>
      </c>
    </row>
    <row r="65" spans="1:69" x14ac:dyDescent="0.2">
      <c r="A65" s="617"/>
      <c r="B65" s="618">
        <v>1</v>
      </c>
      <c r="C65" s="619" t="str">
        <f t="shared" ref="C65:AM65" si="31">IF(C63=0, "OK","No Cuadra")</f>
        <v>OK</v>
      </c>
      <c r="D65" s="619" t="str">
        <f t="shared" si="31"/>
        <v>OK</v>
      </c>
      <c r="E65" s="619" t="str">
        <f t="shared" si="31"/>
        <v>OK</v>
      </c>
      <c r="F65" s="619" t="str">
        <f t="shared" si="31"/>
        <v>OK</v>
      </c>
      <c r="G65" s="619" t="str">
        <f t="shared" si="31"/>
        <v>OK</v>
      </c>
      <c r="H65" s="619" t="str">
        <f t="shared" si="31"/>
        <v>OK</v>
      </c>
      <c r="I65" s="619" t="str">
        <f t="shared" si="31"/>
        <v>OK</v>
      </c>
      <c r="J65" s="619" t="str">
        <f t="shared" si="31"/>
        <v>OK</v>
      </c>
      <c r="K65" s="619" t="str">
        <f t="shared" si="31"/>
        <v>OK</v>
      </c>
      <c r="L65" s="619" t="str">
        <f t="shared" si="31"/>
        <v>OK</v>
      </c>
      <c r="M65" s="619" t="str">
        <f t="shared" si="31"/>
        <v>OK</v>
      </c>
      <c r="N65" s="619" t="str">
        <f t="shared" si="31"/>
        <v>OK</v>
      </c>
      <c r="O65" s="619" t="str">
        <f>IF(O63=0, "OK","No Cuadra")</f>
        <v>OK</v>
      </c>
      <c r="P65" s="619" t="str">
        <f t="shared" si="31"/>
        <v>OK</v>
      </c>
      <c r="Q65" s="619" t="str">
        <f t="shared" si="31"/>
        <v>OK</v>
      </c>
      <c r="R65" s="619" t="str">
        <f t="shared" si="31"/>
        <v>OK</v>
      </c>
      <c r="S65" s="619" t="str">
        <f t="shared" si="31"/>
        <v>OK</v>
      </c>
      <c r="T65" s="619" t="str">
        <f t="shared" si="31"/>
        <v>OK</v>
      </c>
      <c r="U65" s="619" t="str">
        <f t="shared" si="31"/>
        <v>OK</v>
      </c>
      <c r="V65" s="619" t="str">
        <f t="shared" si="31"/>
        <v>OK</v>
      </c>
      <c r="W65" s="619" t="str">
        <f t="shared" si="31"/>
        <v>OK</v>
      </c>
      <c r="X65" s="619" t="str">
        <f t="shared" si="31"/>
        <v>OK</v>
      </c>
      <c r="Y65" s="619" t="str">
        <f t="shared" si="31"/>
        <v>OK</v>
      </c>
      <c r="Z65" s="619" t="str">
        <f t="shared" si="31"/>
        <v>OK</v>
      </c>
      <c r="AA65" s="619" t="str">
        <f t="shared" si="31"/>
        <v>OK</v>
      </c>
      <c r="AB65" s="619" t="str">
        <f t="shared" si="31"/>
        <v>OK</v>
      </c>
      <c r="AC65" s="619" t="str">
        <f t="shared" si="31"/>
        <v>OK</v>
      </c>
      <c r="AD65" s="619" t="str">
        <f t="shared" si="31"/>
        <v>OK</v>
      </c>
      <c r="AE65" s="619" t="str">
        <f t="shared" si="31"/>
        <v>OK</v>
      </c>
      <c r="AF65" s="619" t="str">
        <f t="shared" si="31"/>
        <v>OK</v>
      </c>
      <c r="AG65" s="619" t="str">
        <f t="shared" si="31"/>
        <v>OK</v>
      </c>
      <c r="AH65" s="619" t="str">
        <f t="shared" si="31"/>
        <v>OK</v>
      </c>
      <c r="AI65" s="619" t="str">
        <f t="shared" si="31"/>
        <v>OK</v>
      </c>
      <c r="AJ65" s="619" t="str">
        <f t="shared" si="31"/>
        <v>OK</v>
      </c>
      <c r="AK65" s="619" t="str">
        <f t="shared" si="31"/>
        <v>OK</v>
      </c>
      <c r="AL65" s="619" t="str">
        <f t="shared" si="31"/>
        <v>OK</v>
      </c>
      <c r="AM65" s="619" t="str">
        <f t="shared" si="31"/>
        <v>OK</v>
      </c>
    </row>
    <row r="66" spans="1:69" ht="15" x14ac:dyDescent="0.3">
      <c r="A66" s="620"/>
      <c r="B66" s="620"/>
      <c r="C66" s="620"/>
      <c r="D66" s="620"/>
      <c r="E66" s="620"/>
      <c r="F66" s="620"/>
      <c r="G66" s="620"/>
      <c r="H66" s="620"/>
      <c r="I66" s="620"/>
      <c r="J66" s="620"/>
      <c r="K66" s="620"/>
      <c r="L66" s="620"/>
      <c r="M66" s="620"/>
      <c r="N66" s="620"/>
      <c r="O66" s="620"/>
      <c r="P66" s="620"/>
      <c r="Q66" s="621"/>
      <c r="R66" s="621"/>
      <c r="S66" s="621"/>
      <c r="T66" s="621"/>
      <c r="U66" s="622"/>
      <c r="V66" s="622"/>
      <c r="W66" s="622"/>
      <c r="X66" s="622"/>
      <c r="Y66" s="622"/>
      <c r="Z66" s="622"/>
      <c r="AA66" s="622"/>
      <c r="AB66" s="622"/>
      <c r="AC66" s="622"/>
      <c r="AD66" s="620"/>
      <c r="AE66" s="620"/>
      <c r="AF66" s="620"/>
      <c r="AG66" s="620"/>
      <c r="AH66" s="620"/>
      <c r="AI66" s="620">
        <f>+AI64-AH64</f>
        <v>0</v>
      </c>
      <c r="AJ66" s="620">
        <f>+AJ64-AI64</f>
        <v>0</v>
      </c>
      <c r="AK66" s="620"/>
      <c r="AL66" s="620"/>
      <c r="AM66" s="620"/>
    </row>
    <row r="67" spans="1:69" x14ac:dyDescent="0.2">
      <c r="A67" s="620"/>
      <c r="B67" s="620"/>
      <c r="C67" s="620"/>
      <c r="D67" s="620"/>
      <c r="E67" s="620"/>
      <c r="F67" s="620"/>
      <c r="G67" s="620"/>
      <c r="H67" s="620"/>
      <c r="I67" s="620"/>
      <c r="J67" s="620"/>
      <c r="K67" s="620"/>
      <c r="L67" s="620"/>
      <c r="M67" s="620"/>
      <c r="N67" s="620"/>
      <c r="O67" s="620"/>
      <c r="P67" s="620"/>
      <c r="Q67" s="623"/>
      <c r="R67" s="622"/>
      <c r="S67" s="622"/>
      <c r="T67" s="622"/>
      <c r="U67" s="622"/>
      <c r="V67" s="622"/>
      <c r="W67" s="622"/>
      <c r="X67" s="622"/>
      <c r="Y67" s="622"/>
      <c r="Z67" s="622"/>
      <c r="AA67" s="622"/>
      <c r="AB67" s="622"/>
      <c r="AC67" s="622"/>
      <c r="AD67" s="620"/>
      <c r="AE67" s="620"/>
      <c r="AF67" s="620"/>
      <c r="AG67" s="620"/>
      <c r="AH67" s="620"/>
      <c r="AI67" s="620"/>
      <c r="AJ67" s="620"/>
      <c r="AK67" s="620"/>
      <c r="AL67" s="620"/>
      <c r="AM67" s="620"/>
    </row>
    <row r="68" spans="1:69" ht="15" customHeight="1" x14ac:dyDescent="0.3">
      <c r="A68" s="622"/>
      <c r="B68" s="622"/>
      <c r="C68" s="622"/>
      <c r="D68" s="622">
        <f>+D7</f>
        <v>1</v>
      </c>
      <c r="E68" s="622">
        <f t="shared" ref="E68:AC68" si="32">+E7</f>
        <v>2</v>
      </c>
      <c r="F68" s="622">
        <f t="shared" si="32"/>
        <v>3</v>
      </c>
      <c r="G68" s="622">
        <f t="shared" si="32"/>
        <v>4</v>
      </c>
      <c r="H68" s="622">
        <f t="shared" si="32"/>
        <v>5</v>
      </c>
      <c r="I68" s="622">
        <f t="shared" si="32"/>
        <v>6</v>
      </c>
      <c r="J68" s="622">
        <f t="shared" si="32"/>
        <v>7</v>
      </c>
      <c r="K68" s="622">
        <f t="shared" si="32"/>
        <v>8</v>
      </c>
      <c r="L68" s="622">
        <f t="shared" si="32"/>
        <v>9</v>
      </c>
      <c r="M68" s="622">
        <f t="shared" si="32"/>
        <v>10</v>
      </c>
      <c r="N68" s="622">
        <f t="shared" si="32"/>
        <v>11</v>
      </c>
      <c r="O68" s="622">
        <f t="shared" si="32"/>
        <v>12</v>
      </c>
      <c r="P68" s="622">
        <f t="shared" si="32"/>
        <v>0</v>
      </c>
      <c r="Q68" s="622">
        <f t="shared" si="32"/>
        <v>13</v>
      </c>
      <c r="R68" s="622">
        <f t="shared" si="32"/>
        <v>14</v>
      </c>
      <c r="S68" s="622">
        <f t="shared" si="32"/>
        <v>15</v>
      </c>
      <c r="T68" s="622">
        <f t="shared" si="32"/>
        <v>16</v>
      </c>
      <c r="U68" s="622">
        <f t="shared" si="32"/>
        <v>17</v>
      </c>
      <c r="V68" s="622">
        <f t="shared" si="32"/>
        <v>18</v>
      </c>
      <c r="W68" s="622">
        <f t="shared" si="32"/>
        <v>19</v>
      </c>
      <c r="X68" s="622">
        <f t="shared" si="32"/>
        <v>20</v>
      </c>
      <c r="Y68" s="622">
        <f t="shared" si="32"/>
        <v>21</v>
      </c>
      <c r="Z68" s="622">
        <f t="shared" si="32"/>
        <v>22</v>
      </c>
      <c r="AA68" s="622">
        <f t="shared" si="32"/>
        <v>23</v>
      </c>
      <c r="AB68" s="622">
        <f t="shared" si="32"/>
        <v>24</v>
      </c>
      <c r="AC68" s="622">
        <f t="shared" si="32"/>
        <v>0</v>
      </c>
      <c r="AD68" s="621"/>
      <c r="AE68" s="621"/>
      <c r="AF68" s="621"/>
      <c r="AG68" s="621"/>
      <c r="AH68" s="621"/>
      <c r="AI68" s="621"/>
      <c r="AJ68" s="621"/>
      <c r="AK68" s="621"/>
      <c r="AL68" s="621"/>
      <c r="AM68" s="621"/>
    </row>
    <row r="69" spans="1:69" x14ac:dyDescent="0.2">
      <c r="A69" s="622"/>
      <c r="B69" s="622"/>
      <c r="C69" s="622"/>
      <c r="D69" s="622">
        <f>+'19 Resumen'!$M$3-1</f>
        <v>2</v>
      </c>
      <c r="E69" s="622">
        <f>+'19 Resumen'!$M$3-1</f>
        <v>2</v>
      </c>
      <c r="F69" s="622">
        <f>+'19 Resumen'!$M$3-1</f>
        <v>2</v>
      </c>
      <c r="G69" s="622">
        <f>+'19 Resumen'!$M$3-1</f>
        <v>2</v>
      </c>
      <c r="H69" s="622">
        <f>+'19 Resumen'!$M$3-1</f>
        <v>2</v>
      </c>
      <c r="I69" s="622">
        <f>+'19 Resumen'!$M$3-1</f>
        <v>2</v>
      </c>
      <c r="J69" s="622">
        <f>+'19 Resumen'!$M$3-1</f>
        <v>2</v>
      </c>
      <c r="K69" s="622">
        <f>+'19 Resumen'!$M$3-1</f>
        <v>2</v>
      </c>
      <c r="L69" s="622">
        <f>+'19 Resumen'!$M$3-1</f>
        <v>2</v>
      </c>
      <c r="M69" s="622">
        <f>+'19 Resumen'!$M$3-1</f>
        <v>2</v>
      </c>
      <c r="N69" s="622">
        <f>+'19 Resumen'!$M$3-1</f>
        <v>2</v>
      </c>
      <c r="O69" s="622">
        <f>+'19 Resumen'!$M$3-1</f>
        <v>2</v>
      </c>
      <c r="P69" s="622"/>
      <c r="Q69" s="622">
        <f>+'19 Resumen'!$M$3</f>
        <v>3</v>
      </c>
      <c r="R69" s="622">
        <f>+'19 Resumen'!$M$3</f>
        <v>3</v>
      </c>
      <c r="S69" s="622">
        <f>+'19 Resumen'!$M$3</f>
        <v>3</v>
      </c>
      <c r="T69" s="622">
        <f>+'19 Resumen'!$M$3</f>
        <v>3</v>
      </c>
      <c r="U69" s="622">
        <f>+'19 Resumen'!$M$3</f>
        <v>3</v>
      </c>
      <c r="V69" s="622">
        <f>+'19 Resumen'!$M$3</f>
        <v>3</v>
      </c>
      <c r="W69" s="622">
        <f>+'19 Resumen'!$M$3</f>
        <v>3</v>
      </c>
      <c r="X69" s="622">
        <f>+'19 Resumen'!$M$3</f>
        <v>3</v>
      </c>
      <c r="Y69" s="622">
        <f>+'19 Resumen'!$M$3</f>
        <v>3</v>
      </c>
      <c r="Z69" s="622">
        <f>+'19 Resumen'!$M$3</f>
        <v>3</v>
      </c>
      <c r="AA69" s="622">
        <f>+'19 Resumen'!$M$3</f>
        <v>3</v>
      </c>
      <c r="AB69" s="622">
        <f>+'19 Resumen'!$M$3</f>
        <v>3</v>
      </c>
      <c r="AC69" s="622"/>
      <c r="AD69" s="622"/>
      <c r="AE69" s="622"/>
      <c r="AF69" s="622"/>
      <c r="AG69" s="622"/>
      <c r="AH69" s="622"/>
      <c r="AI69" s="622"/>
      <c r="AJ69" s="622"/>
      <c r="AK69" s="622"/>
      <c r="AL69" s="622"/>
      <c r="AM69" s="622"/>
    </row>
    <row r="70" spans="1:69" x14ac:dyDescent="0.2">
      <c r="A70" s="622"/>
      <c r="B70" s="622"/>
      <c r="C70" s="622">
        <v>1</v>
      </c>
      <c r="D70" s="622">
        <f>IF(D69&gt;D68,0,1)</f>
        <v>0</v>
      </c>
      <c r="E70" s="622">
        <f t="shared" ref="E70:N70" si="33">IF(E69&gt;E68,0,1)</f>
        <v>1</v>
      </c>
      <c r="F70" s="622">
        <f t="shared" si="33"/>
        <v>1</v>
      </c>
      <c r="G70" s="622">
        <f t="shared" si="33"/>
        <v>1</v>
      </c>
      <c r="H70" s="622">
        <f t="shared" si="33"/>
        <v>1</v>
      </c>
      <c r="I70" s="622">
        <f t="shared" si="33"/>
        <v>1</v>
      </c>
      <c r="J70" s="622">
        <f t="shared" si="33"/>
        <v>1</v>
      </c>
      <c r="K70" s="622">
        <f t="shared" si="33"/>
        <v>1</v>
      </c>
      <c r="L70" s="622">
        <f t="shared" si="33"/>
        <v>1</v>
      </c>
      <c r="M70" s="622">
        <f t="shared" si="33"/>
        <v>1</v>
      </c>
      <c r="N70" s="622">
        <f t="shared" si="33"/>
        <v>1</v>
      </c>
      <c r="O70" s="622">
        <f>IF(O69&gt;O68,0,1)</f>
        <v>1</v>
      </c>
      <c r="P70" s="622">
        <f>SUM(D70:O70)</f>
        <v>11</v>
      </c>
      <c r="Q70" s="622">
        <f>IF(Q69&gt;=Q68,0,1)</f>
        <v>1</v>
      </c>
      <c r="R70" s="622">
        <f t="shared" ref="R70:AA70" si="34">IF(R69&gt;=R68,0,1)</f>
        <v>1</v>
      </c>
      <c r="S70" s="622">
        <f t="shared" si="34"/>
        <v>1</v>
      </c>
      <c r="T70" s="622">
        <f t="shared" si="34"/>
        <v>1</v>
      </c>
      <c r="U70" s="622">
        <f t="shared" si="34"/>
        <v>1</v>
      </c>
      <c r="V70" s="622">
        <f t="shared" si="34"/>
        <v>1</v>
      </c>
      <c r="W70" s="622">
        <f t="shared" si="34"/>
        <v>1</v>
      </c>
      <c r="X70" s="622">
        <f t="shared" si="34"/>
        <v>1</v>
      </c>
      <c r="Y70" s="622">
        <f t="shared" si="34"/>
        <v>1</v>
      </c>
      <c r="Z70" s="622">
        <f t="shared" si="34"/>
        <v>1</v>
      </c>
      <c r="AA70" s="622">
        <f t="shared" si="34"/>
        <v>1</v>
      </c>
      <c r="AB70" s="622">
        <f>IF(AB69&gt;AB68,0,1)</f>
        <v>1</v>
      </c>
      <c r="AC70" s="622">
        <f>SUM(Q70:AB70)</f>
        <v>12</v>
      </c>
      <c r="AD70" s="622"/>
      <c r="AE70" s="622"/>
      <c r="AF70" s="622"/>
      <c r="AG70" s="622"/>
      <c r="AH70" s="622"/>
      <c r="AI70" s="622"/>
      <c r="AJ70" s="622"/>
      <c r="AK70" s="622"/>
      <c r="AL70" s="622"/>
      <c r="AM70" s="622"/>
    </row>
    <row r="71" spans="1:69" x14ac:dyDescent="0.2">
      <c r="A71" s="622"/>
      <c r="B71" s="622"/>
      <c r="C71" s="622"/>
      <c r="D71" s="622">
        <f>+D70</f>
        <v>0</v>
      </c>
      <c r="E71" s="622">
        <f>+E70+D71</f>
        <v>1</v>
      </c>
      <c r="F71" s="622">
        <f>+F70+E71</f>
        <v>2</v>
      </c>
      <c r="G71" s="622">
        <f t="shared" ref="G71:N71" si="35">+G70+F71</f>
        <v>3</v>
      </c>
      <c r="H71" s="622">
        <f t="shared" si="35"/>
        <v>4</v>
      </c>
      <c r="I71" s="622">
        <f t="shared" si="35"/>
        <v>5</v>
      </c>
      <c r="J71" s="622">
        <f t="shared" si="35"/>
        <v>6</v>
      </c>
      <c r="K71" s="622">
        <f t="shared" si="35"/>
        <v>7</v>
      </c>
      <c r="L71" s="622">
        <f t="shared" si="35"/>
        <v>8</v>
      </c>
      <c r="M71" s="622">
        <f t="shared" si="35"/>
        <v>9</v>
      </c>
      <c r="N71" s="622">
        <f t="shared" si="35"/>
        <v>10</v>
      </c>
      <c r="O71" s="622">
        <f>+O70+N71</f>
        <v>11</v>
      </c>
      <c r="P71" s="622"/>
      <c r="Q71" s="622">
        <f>+Q70+O71</f>
        <v>12</v>
      </c>
      <c r="R71" s="622">
        <f t="shared" ref="R71:AB71" si="36">+R70+Q71</f>
        <v>13</v>
      </c>
      <c r="S71" s="622">
        <f t="shared" si="36"/>
        <v>14</v>
      </c>
      <c r="T71" s="622">
        <f t="shared" si="36"/>
        <v>15</v>
      </c>
      <c r="U71" s="622">
        <f t="shared" si="36"/>
        <v>16</v>
      </c>
      <c r="V71" s="622">
        <f t="shared" si="36"/>
        <v>17</v>
      </c>
      <c r="W71" s="622">
        <f t="shared" si="36"/>
        <v>18</v>
      </c>
      <c r="X71" s="622">
        <f t="shared" si="36"/>
        <v>19</v>
      </c>
      <c r="Y71" s="622">
        <f t="shared" si="36"/>
        <v>20</v>
      </c>
      <c r="Z71" s="622">
        <f t="shared" si="36"/>
        <v>21</v>
      </c>
      <c r="AA71" s="622">
        <f t="shared" si="36"/>
        <v>22</v>
      </c>
      <c r="AB71" s="622">
        <f t="shared" si="36"/>
        <v>23</v>
      </c>
      <c r="AC71" s="622"/>
      <c r="AD71" s="622"/>
      <c r="AE71" s="622"/>
      <c r="AF71" s="622"/>
      <c r="AG71" s="622"/>
      <c r="AH71" s="622"/>
      <c r="AI71" s="622"/>
      <c r="AJ71" s="622"/>
      <c r="AK71" s="622"/>
      <c r="AL71" s="622"/>
      <c r="AM71" s="622"/>
    </row>
    <row r="72" spans="1:69" ht="15" x14ac:dyDescent="0.3">
      <c r="A72" s="622"/>
      <c r="B72" s="622"/>
      <c r="C72" s="622"/>
      <c r="D72" s="621">
        <f t="shared" ref="D72:N72" si="37">IF(D71=0,0,E72)</f>
        <v>0</v>
      </c>
      <c r="E72" s="621">
        <f t="shared" si="37"/>
        <v>-2500</v>
      </c>
      <c r="F72" s="621">
        <f t="shared" si="37"/>
        <v>-2500</v>
      </c>
      <c r="G72" s="621">
        <f t="shared" si="37"/>
        <v>-2500</v>
      </c>
      <c r="H72" s="621">
        <f t="shared" si="37"/>
        <v>-2500</v>
      </c>
      <c r="I72" s="621">
        <f t="shared" si="37"/>
        <v>-2500</v>
      </c>
      <c r="J72" s="621">
        <f t="shared" si="37"/>
        <v>-2500</v>
      </c>
      <c r="K72" s="621">
        <f t="shared" si="37"/>
        <v>-2500</v>
      </c>
      <c r="L72" s="621">
        <f t="shared" si="37"/>
        <v>-2500</v>
      </c>
      <c r="M72" s="621">
        <f t="shared" si="37"/>
        <v>-2500</v>
      </c>
      <c r="N72" s="621">
        <f t="shared" si="37"/>
        <v>-2500</v>
      </c>
      <c r="O72" s="621">
        <f>IF(O71=0,0,P72)</f>
        <v>-2500</v>
      </c>
      <c r="P72" s="621">
        <f>+P34/P70</f>
        <v>-2500</v>
      </c>
      <c r="Q72" s="621">
        <f t="shared" ref="Q72:AB72" si="38">IF(Q71=0,0,R72)</f>
        <v>-2291.6666666666647</v>
      </c>
      <c r="R72" s="621">
        <f t="shared" si="38"/>
        <v>-2291.6666666666647</v>
      </c>
      <c r="S72" s="621">
        <f t="shared" si="38"/>
        <v>-2291.6666666666647</v>
      </c>
      <c r="T72" s="621">
        <f t="shared" si="38"/>
        <v>-2291.6666666666647</v>
      </c>
      <c r="U72" s="621">
        <f t="shared" si="38"/>
        <v>-2291.6666666666647</v>
      </c>
      <c r="V72" s="621">
        <f t="shared" si="38"/>
        <v>-2291.6666666666647</v>
      </c>
      <c r="W72" s="621">
        <f t="shared" si="38"/>
        <v>-2291.6666666666647</v>
      </c>
      <c r="X72" s="621">
        <f t="shared" si="38"/>
        <v>-2291.6666666666647</v>
      </c>
      <c r="Y72" s="621">
        <f t="shared" si="38"/>
        <v>-2291.6666666666647</v>
      </c>
      <c r="Z72" s="621">
        <f t="shared" si="38"/>
        <v>-2291.6666666666647</v>
      </c>
      <c r="AA72" s="621">
        <f t="shared" si="38"/>
        <v>-2291.6666666666647</v>
      </c>
      <c r="AB72" s="621">
        <f t="shared" si="38"/>
        <v>-2291.6666666666647</v>
      </c>
      <c r="AC72" s="621">
        <f>(+AC34-P34)/AC70</f>
        <v>-2291.6666666666647</v>
      </c>
      <c r="AD72" s="621"/>
      <c r="AE72" s="621"/>
      <c r="AF72" s="621"/>
      <c r="AG72" s="621"/>
      <c r="AH72" s="621"/>
      <c r="AI72" s="621"/>
      <c r="AJ72" s="621"/>
      <c r="AK72" s="621"/>
      <c r="AL72" s="621"/>
      <c r="AM72" s="621"/>
      <c r="AN72" s="574"/>
      <c r="AO72" s="574"/>
      <c r="AP72" s="574"/>
      <c r="AQ72" s="574"/>
      <c r="AR72" s="574"/>
      <c r="AS72" s="574"/>
      <c r="AT72" s="574"/>
      <c r="AU72" s="574"/>
      <c r="AV72" s="574"/>
      <c r="AW72" s="574"/>
      <c r="AX72" s="574"/>
      <c r="AY72" s="574"/>
      <c r="AZ72" s="574"/>
      <c r="BA72" s="574"/>
      <c r="BB72" s="574"/>
      <c r="BC72" s="574"/>
      <c r="BD72" s="574"/>
      <c r="BE72" s="574"/>
      <c r="BF72" s="574"/>
      <c r="BG72" s="574"/>
      <c r="BH72" s="574"/>
      <c r="BI72" s="574"/>
      <c r="BJ72" s="574"/>
      <c r="BK72" s="574"/>
      <c r="BL72" s="574"/>
      <c r="BM72" s="574"/>
      <c r="BN72" s="574"/>
      <c r="BO72" s="574"/>
      <c r="BP72" s="574"/>
      <c r="BQ72" s="574"/>
    </row>
    <row r="73" spans="1:69" ht="15" x14ac:dyDescent="0.3">
      <c r="A73" s="622"/>
      <c r="B73" s="622"/>
      <c r="C73" s="622"/>
      <c r="D73" s="621">
        <f>+D72</f>
        <v>0</v>
      </c>
      <c r="E73" s="621">
        <f>+E72+D73</f>
        <v>-2500</v>
      </c>
      <c r="F73" s="621">
        <f t="shared" ref="F73:O73" si="39">+F72+E73</f>
        <v>-5000</v>
      </c>
      <c r="G73" s="621">
        <f t="shared" si="39"/>
        <v>-7500</v>
      </c>
      <c r="H73" s="621">
        <f t="shared" si="39"/>
        <v>-10000</v>
      </c>
      <c r="I73" s="621">
        <f t="shared" si="39"/>
        <v>-12500</v>
      </c>
      <c r="J73" s="621">
        <f t="shared" si="39"/>
        <v>-15000</v>
      </c>
      <c r="K73" s="621">
        <f t="shared" si="39"/>
        <v>-17500</v>
      </c>
      <c r="L73" s="621">
        <f t="shared" si="39"/>
        <v>-20000</v>
      </c>
      <c r="M73" s="621">
        <f t="shared" si="39"/>
        <v>-22500</v>
      </c>
      <c r="N73" s="621">
        <f t="shared" si="39"/>
        <v>-25000</v>
      </c>
      <c r="O73" s="621">
        <f t="shared" si="39"/>
        <v>-27500</v>
      </c>
      <c r="P73" s="621"/>
      <c r="Q73" s="621">
        <f>+Q72+O73</f>
        <v>-29791.666666666664</v>
      </c>
      <c r="R73" s="621">
        <f t="shared" ref="R73:AB73" si="40">+R72+Q73</f>
        <v>-32083.333333333328</v>
      </c>
      <c r="S73" s="621">
        <f t="shared" si="40"/>
        <v>-34374.999999999993</v>
      </c>
      <c r="T73" s="621">
        <f t="shared" si="40"/>
        <v>-36666.666666666657</v>
      </c>
      <c r="U73" s="621">
        <f t="shared" si="40"/>
        <v>-38958.333333333321</v>
      </c>
      <c r="V73" s="621">
        <f t="shared" si="40"/>
        <v>-41249.999999999985</v>
      </c>
      <c r="W73" s="621">
        <f t="shared" si="40"/>
        <v>-43541.66666666665</v>
      </c>
      <c r="X73" s="621">
        <f t="shared" si="40"/>
        <v>-45833.333333333314</v>
      </c>
      <c r="Y73" s="621">
        <f t="shared" si="40"/>
        <v>-48124.999999999978</v>
      </c>
      <c r="Z73" s="621">
        <f t="shared" si="40"/>
        <v>-50416.666666666642</v>
      </c>
      <c r="AA73" s="621">
        <f t="shared" si="40"/>
        <v>-52708.333333333307</v>
      </c>
      <c r="AB73" s="621">
        <f t="shared" si="40"/>
        <v>-54999.999999999971</v>
      </c>
      <c r="AC73" s="621"/>
      <c r="AD73" s="621"/>
      <c r="AE73" s="621"/>
      <c r="AF73" s="621"/>
      <c r="AG73" s="621"/>
      <c r="AH73" s="621"/>
      <c r="AI73" s="621"/>
      <c r="AJ73" s="621"/>
      <c r="AK73" s="621"/>
      <c r="AL73" s="621"/>
      <c r="AM73" s="621"/>
      <c r="AN73" s="574"/>
      <c r="AO73" s="574"/>
      <c r="AP73" s="574"/>
      <c r="AQ73" s="574"/>
      <c r="AR73" s="574"/>
      <c r="AS73" s="574"/>
      <c r="AT73" s="574"/>
      <c r="AU73" s="574"/>
      <c r="AV73" s="574"/>
      <c r="AW73" s="574"/>
      <c r="AX73" s="574"/>
      <c r="AY73" s="574"/>
      <c r="AZ73" s="574"/>
      <c r="BA73" s="574"/>
      <c r="BB73" s="574"/>
      <c r="BC73" s="574"/>
      <c r="BD73" s="574"/>
      <c r="BE73" s="574"/>
      <c r="BF73" s="574"/>
      <c r="BG73" s="574"/>
      <c r="BH73" s="574"/>
      <c r="BI73" s="574"/>
      <c r="BJ73" s="574"/>
      <c r="BK73" s="574"/>
      <c r="BL73" s="574"/>
      <c r="BM73" s="574"/>
      <c r="BN73" s="574"/>
      <c r="BO73" s="574"/>
      <c r="BP73" s="574"/>
      <c r="BQ73" s="574"/>
    </row>
    <row r="74" spans="1:69" ht="15" x14ac:dyDescent="0.3">
      <c r="A74" s="622"/>
      <c r="B74" s="622"/>
      <c r="C74" s="622"/>
      <c r="D74" s="621"/>
      <c r="E74" s="621"/>
      <c r="F74" s="621"/>
      <c r="G74" s="621"/>
      <c r="H74" s="621"/>
      <c r="I74" s="621"/>
      <c r="J74" s="621"/>
      <c r="K74" s="621"/>
      <c r="L74" s="621"/>
      <c r="M74" s="621"/>
      <c r="N74" s="621"/>
      <c r="O74" s="621"/>
      <c r="P74" s="621"/>
      <c r="Q74" s="621"/>
      <c r="R74" s="621"/>
      <c r="S74" s="621"/>
      <c r="T74" s="621"/>
      <c r="U74" s="621"/>
      <c r="V74" s="621"/>
      <c r="W74" s="621"/>
      <c r="X74" s="621"/>
      <c r="Y74" s="621"/>
      <c r="Z74" s="621"/>
      <c r="AA74" s="621"/>
      <c r="AB74" s="621"/>
      <c r="AC74" s="621"/>
      <c r="AD74" s="621"/>
      <c r="AE74" s="621"/>
      <c r="AF74" s="621"/>
      <c r="AG74" s="621"/>
      <c r="AH74" s="621"/>
      <c r="AI74" s="621"/>
      <c r="AJ74" s="621"/>
      <c r="AK74" s="621"/>
      <c r="AL74" s="621"/>
      <c r="AM74" s="621"/>
      <c r="AN74" s="574"/>
      <c r="AO74" s="574"/>
      <c r="AP74" s="574"/>
      <c r="AQ74" s="574"/>
      <c r="AR74" s="574"/>
      <c r="AS74" s="574"/>
      <c r="AT74" s="574"/>
      <c r="AU74" s="574"/>
      <c r="AV74" s="574"/>
      <c r="AW74" s="574"/>
      <c r="AX74" s="574"/>
      <c r="AY74" s="574"/>
      <c r="AZ74" s="574"/>
      <c r="BA74" s="574"/>
      <c r="BB74" s="574"/>
      <c r="BC74" s="574"/>
      <c r="BD74" s="574"/>
      <c r="BE74" s="574"/>
      <c r="BF74" s="574"/>
      <c r="BG74" s="574"/>
      <c r="BH74" s="574"/>
      <c r="BI74" s="574"/>
      <c r="BJ74" s="574"/>
      <c r="BK74" s="574"/>
      <c r="BL74" s="574"/>
      <c r="BM74" s="574"/>
      <c r="BN74" s="574"/>
      <c r="BO74" s="574"/>
      <c r="BP74" s="574"/>
      <c r="BQ74" s="574"/>
    </row>
    <row r="75" spans="1:69" ht="15" x14ac:dyDescent="0.3">
      <c r="A75" s="622"/>
      <c r="B75" s="622"/>
      <c r="C75" s="622"/>
      <c r="D75" s="621">
        <f t="shared" ref="D75:N75" si="41">IF(D71=0,0,E75)</f>
        <v>0</v>
      </c>
      <c r="E75" s="621">
        <f t="shared" si="41"/>
        <v>-18800</v>
      </c>
      <c r="F75" s="621">
        <f t="shared" si="41"/>
        <v>-18800</v>
      </c>
      <c r="G75" s="621">
        <f t="shared" si="41"/>
        <v>-18800</v>
      </c>
      <c r="H75" s="621">
        <f t="shared" si="41"/>
        <v>-18800</v>
      </c>
      <c r="I75" s="621">
        <f t="shared" si="41"/>
        <v>-18800</v>
      </c>
      <c r="J75" s="621">
        <f t="shared" si="41"/>
        <v>-18800</v>
      </c>
      <c r="K75" s="621">
        <f t="shared" si="41"/>
        <v>-18800</v>
      </c>
      <c r="L75" s="621">
        <f t="shared" si="41"/>
        <v>-18800</v>
      </c>
      <c r="M75" s="621">
        <f>IF(M71=0,0,N75)</f>
        <v>-18800</v>
      </c>
      <c r="N75" s="621">
        <f t="shared" si="41"/>
        <v>-18800</v>
      </c>
      <c r="O75" s="621">
        <f>IF(O71=0,0,P75)</f>
        <v>-18800</v>
      </c>
      <c r="P75" s="621">
        <f>+P27/P70</f>
        <v>-18800</v>
      </c>
      <c r="Q75" s="621">
        <f>IF(Q71=0,0,R75)</f>
        <v>-35316.666666666664</v>
      </c>
      <c r="R75" s="621">
        <f t="shared" ref="R75:AB75" si="42">IF(R71=0,0,S75)</f>
        <v>-35316.666666666664</v>
      </c>
      <c r="S75" s="621">
        <f t="shared" si="42"/>
        <v>-35316.666666666664</v>
      </c>
      <c r="T75" s="621">
        <f t="shared" si="42"/>
        <v>-35316.666666666664</v>
      </c>
      <c r="U75" s="621">
        <f t="shared" si="42"/>
        <v>-35316.666666666664</v>
      </c>
      <c r="V75" s="621">
        <f t="shared" si="42"/>
        <v>-35316.666666666664</v>
      </c>
      <c r="W75" s="621">
        <f t="shared" si="42"/>
        <v>-35316.666666666664</v>
      </c>
      <c r="X75" s="621">
        <f t="shared" si="42"/>
        <v>-35316.666666666664</v>
      </c>
      <c r="Y75" s="621">
        <f t="shared" si="42"/>
        <v>-35316.666666666664</v>
      </c>
      <c r="Z75" s="621">
        <f t="shared" si="42"/>
        <v>-35316.666666666664</v>
      </c>
      <c r="AA75" s="621">
        <f t="shared" si="42"/>
        <v>-35316.666666666664</v>
      </c>
      <c r="AB75" s="621">
        <f t="shared" si="42"/>
        <v>-35316.666666666664</v>
      </c>
      <c r="AC75" s="621">
        <f>(+AC27-P27)/AC70</f>
        <v>-35316.666666666664</v>
      </c>
      <c r="AD75" s="621">
        <f t="shared" ref="AD75:AI75" si="43">+AD41+AD49</f>
        <v>138383.83838383839</v>
      </c>
      <c r="AE75" s="621">
        <f t="shared" si="43"/>
        <v>97979.797979797979</v>
      </c>
      <c r="AF75" s="621">
        <f t="shared" si="43"/>
        <v>57575.757575757518</v>
      </c>
      <c r="AG75" s="621">
        <f t="shared" si="43"/>
        <v>27777.777777777705</v>
      </c>
      <c r="AH75" s="621">
        <f t="shared" si="43"/>
        <v>5555.5555555555557</v>
      </c>
      <c r="AI75" s="621">
        <f t="shared" si="43"/>
        <v>0</v>
      </c>
      <c r="AJ75" s="621"/>
      <c r="AK75" s="621"/>
      <c r="AL75" s="621"/>
      <c r="AM75" s="621"/>
      <c r="AN75" s="574"/>
      <c r="AO75" s="574"/>
      <c r="AP75" s="574"/>
      <c r="AQ75" s="574"/>
      <c r="AR75" s="574"/>
      <c r="AS75" s="574"/>
      <c r="AT75" s="574"/>
      <c r="AU75" s="574"/>
      <c r="AV75" s="574"/>
      <c r="AW75" s="574"/>
      <c r="AX75" s="574"/>
      <c r="AY75" s="574"/>
      <c r="AZ75" s="574"/>
      <c r="BA75" s="574"/>
      <c r="BB75" s="574"/>
      <c r="BC75" s="574"/>
      <c r="BD75" s="574"/>
      <c r="BE75" s="574"/>
      <c r="BF75" s="574"/>
      <c r="BG75" s="574"/>
      <c r="BH75" s="574"/>
      <c r="BI75" s="574"/>
      <c r="BJ75" s="574"/>
      <c r="BK75" s="574"/>
      <c r="BL75" s="574"/>
      <c r="BM75" s="574"/>
      <c r="BN75" s="574"/>
      <c r="BO75" s="574"/>
      <c r="BP75" s="574"/>
      <c r="BQ75" s="574"/>
    </row>
    <row r="76" spans="1:69" ht="15" x14ac:dyDescent="0.3">
      <c r="A76" s="622"/>
      <c r="B76" s="622"/>
      <c r="C76" s="622"/>
      <c r="D76" s="621">
        <f>+D75</f>
        <v>0</v>
      </c>
      <c r="E76" s="621">
        <f t="shared" ref="E76:O76" si="44">+E75+D76</f>
        <v>-18800</v>
      </c>
      <c r="F76" s="621">
        <f t="shared" si="44"/>
        <v>-37600</v>
      </c>
      <c r="G76" s="621">
        <f t="shared" si="44"/>
        <v>-56400</v>
      </c>
      <c r="H76" s="621">
        <f t="shared" si="44"/>
        <v>-75200</v>
      </c>
      <c r="I76" s="621">
        <f t="shared" si="44"/>
        <v>-94000</v>
      </c>
      <c r="J76" s="621">
        <f t="shared" si="44"/>
        <v>-112800</v>
      </c>
      <c r="K76" s="621">
        <f t="shared" si="44"/>
        <v>-131600</v>
      </c>
      <c r="L76" s="621">
        <f t="shared" si="44"/>
        <v>-150400</v>
      </c>
      <c r="M76" s="621">
        <f>+M75+L76</f>
        <v>-169200</v>
      </c>
      <c r="N76" s="621">
        <f>+N75+M76</f>
        <v>-188000</v>
      </c>
      <c r="O76" s="621">
        <f t="shared" si="44"/>
        <v>-206800</v>
      </c>
      <c r="P76" s="621"/>
      <c r="Q76" s="621">
        <f>+Q75+O76</f>
        <v>-242116.66666666666</v>
      </c>
      <c r="R76" s="621">
        <f t="shared" ref="R76:AB76" si="45">+R75+Q76</f>
        <v>-277433.33333333331</v>
      </c>
      <c r="S76" s="621">
        <f t="shared" si="45"/>
        <v>-312750</v>
      </c>
      <c r="T76" s="621">
        <f t="shared" si="45"/>
        <v>-348066.66666666669</v>
      </c>
      <c r="U76" s="621">
        <f t="shared" si="45"/>
        <v>-383383.33333333337</v>
      </c>
      <c r="V76" s="621">
        <f t="shared" si="45"/>
        <v>-418700.00000000006</v>
      </c>
      <c r="W76" s="621">
        <f t="shared" si="45"/>
        <v>-454016.66666666674</v>
      </c>
      <c r="X76" s="621">
        <f t="shared" si="45"/>
        <v>-489333.33333333343</v>
      </c>
      <c r="Y76" s="621">
        <f t="shared" si="45"/>
        <v>-524650.00000000012</v>
      </c>
      <c r="Z76" s="621">
        <f t="shared" si="45"/>
        <v>-559966.66666666674</v>
      </c>
      <c r="AA76" s="621">
        <f t="shared" si="45"/>
        <v>-595283.33333333337</v>
      </c>
      <c r="AB76" s="621">
        <f t="shared" si="45"/>
        <v>-630600</v>
      </c>
      <c r="AC76" s="621"/>
      <c r="AD76" s="622">
        <f>+'15 Crédito Refaccionario'!AB12+'16 Crédito de Avio'!AB12</f>
        <v>138383.83838383839</v>
      </c>
      <c r="AE76" s="622">
        <f>+'15 Crédito Refaccionario'!AC12+'16 Crédito de Avio'!AC12</f>
        <v>97979.797979797979</v>
      </c>
      <c r="AF76" s="622">
        <f>+'15 Crédito Refaccionario'!AD12+'16 Crédito de Avio'!AD12</f>
        <v>57575.75757575754</v>
      </c>
      <c r="AG76" s="622">
        <f>+'15 Crédito Refaccionario'!AE12+'16 Crédito de Avio'!AE12</f>
        <v>27777.777777777705</v>
      </c>
      <c r="AH76" s="622">
        <f>+'15 Crédito Refaccionario'!AF12+'16 Crédito de Avio'!AF12</f>
        <v>5555.5555555554893</v>
      </c>
      <c r="AI76" s="622">
        <f>+'15 Crédito Refaccionario'!AG12+'16 Crédito de Avio'!AG12</f>
        <v>0</v>
      </c>
      <c r="AJ76" s="622"/>
      <c r="AK76" s="622"/>
      <c r="AL76" s="622"/>
      <c r="AM76" s="622"/>
    </row>
    <row r="77" spans="1:69" x14ac:dyDescent="0.2">
      <c r="A77" s="622"/>
      <c r="B77" s="622"/>
      <c r="C77" s="622"/>
      <c r="D77" s="622"/>
      <c r="E77" s="622"/>
      <c r="F77" s="622"/>
      <c r="G77" s="622"/>
      <c r="H77" s="622"/>
      <c r="I77" s="622"/>
      <c r="J77" s="622"/>
      <c r="K77" s="622"/>
      <c r="L77" s="622"/>
      <c r="M77" s="622"/>
      <c r="N77" s="622"/>
      <c r="O77" s="622"/>
      <c r="P77" s="622"/>
      <c r="Q77" s="622"/>
      <c r="R77" s="622"/>
      <c r="S77" s="622"/>
      <c r="T77" s="622"/>
      <c r="U77" s="622"/>
      <c r="V77" s="622"/>
      <c r="W77" s="622"/>
      <c r="X77" s="622"/>
      <c r="Y77" s="622"/>
      <c r="Z77" s="622"/>
      <c r="AA77" s="622"/>
      <c r="AB77" s="622"/>
      <c r="AC77" s="622"/>
      <c r="AD77" s="622"/>
      <c r="AE77" s="622"/>
      <c r="AF77" s="622"/>
      <c r="AG77" s="622"/>
      <c r="AH77" s="622"/>
      <c r="AI77" s="622"/>
      <c r="AJ77" s="622"/>
      <c r="AK77" s="622"/>
      <c r="AL77" s="622"/>
      <c r="AM77" s="622"/>
    </row>
    <row r="78" spans="1:69" x14ac:dyDescent="0.2">
      <c r="A78" s="622"/>
      <c r="B78" s="622"/>
      <c r="C78" s="622"/>
      <c r="D78" s="622"/>
      <c r="E78" s="622"/>
      <c r="F78" s="622"/>
      <c r="G78" s="622"/>
      <c r="H78" s="622"/>
      <c r="I78" s="622"/>
      <c r="J78" s="622"/>
      <c r="K78" s="622"/>
      <c r="L78" s="622"/>
      <c r="M78" s="622"/>
      <c r="N78" s="622"/>
      <c r="O78" s="622"/>
      <c r="P78" s="622"/>
      <c r="Q78" s="622"/>
      <c r="R78" s="622"/>
      <c r="S78" s="622"/>
      <c r="T78" s="622"/>
      <c r="U78" s="622"/>
      <c r="V78" s="622"/>
      <c r="W78" s="622"/>
      <c r="X78" s="622"/>
      <c r="Y78" s="622"/>
      <c r="Z78" s="622"/>
      <c r="AA78" s="622"/>
      <c r="AB78" s="622"/>
      <c r="AC78" s="622"/>
      <c r="AD78" s="622"/>
      <c r="AE78" s="622"/>
      <c r="AF78" s="622"/>
      <c r="AG78" s="622"/>
      <c r="AH78" s="622"/>
      <c r="AI78" s="622"/>
      <c r="AJ78" s="622"/>
      <c r="AK78" s="622"/>
      <c r="AL78" s="622"/>
      <c r="AM78" s="622"/>
    </row>
    <row r="79" spans="1:69" x14ac:dyDescent="0.2">
      <c r="A79" s="622"/>
      <c r="B79" s="622"/>
      <c r="C79" s="622" t="s">
        <v>357</v>
      </c>
      <c r="D79" s="622">
        <f>+'10 Gastos  Admon y Ventas'!E24</f>
        <v>0</v>
      </c>
      <c r="E79" s="622">
        <f>+'10 Gastos  Admon y Ventas'!F24</f>
        <v>0</v>
      </c>
      <c r="F79" s="622">
        <f>+'10 Gastos  Admon y Ventas'!G24</f>
        <v>8080</v>
      </c>
      <c r="G79" s="622">
        <f>+'10 Gastos  Admon y Ventas'!H24</f>
        <v>8080</v>
      </c>
      <c r="H79" s="622">
        <f>+'10 Gastos  Admon y Ventas'!I24</f>
        <v>8080</v>
      </c>
      <c r="I79" s="622">
        <f>+'10 Gastos  Admon y Ventas'!J24</f>
        <v>8080</v>
      </c>
      <c r="J79" s="622">
        <f>+'10 Gastos  Admon y Ventas'!K24</f>
        <v>8080</v>
      </c>
      <c r="K79" s="622">
        <f>+'10 Gastos  Admon y Ventas'!L24</f>
        <v>8080</v>
      </c>
      <c r="L79" s="622">
        <f>+'10 Gastos  Admon y Ventas'!M24</f>
        <v>8080</v>
      </c>
      <c r="M79" s="622">
        <f>+'10 Gastos  Admon y Ventas'!N24</f>
        <v>8080</v>
      </c>
      <c r="N79" s="622">
        <f>+'10 Gastos  Admon y Ventas'!O24</f>
        <v>8080</v>
      </c>
      <c r="O79" s="622">
        <f>+'10 Gastos  Admon y Ventas'!P24</f>
        <v>8080</v>
      </c>
      <c r="P79" s="622">
        <f>+'10 Gastos  Admon y Ventas'!Q24</f>
        <v>80800</v>
      </c>
      <c r="Q79" s="622">
        <f>+'10 Gastos  Admon y Ventas'!R24</f>
        <v>7233.333333333333</v>
      </c>
      <c r="R79" s="622">
        <f>+'10 Gastos  Admon y Ventas'!S24</f>
        <v>7233.333333333333</v>
      </c>
      <c r="S79" s="622">
        <f>+'10 Gastos  Admon y Ventas'!T24</f>
        <v>7233.333333333333</v>
      </c>
      <c r="T79" s="622">
        <f>+'10 Gastos  Admon y Ventas'!U24</f>
        <v>7233.333333333333</v>
      </c>
      <c r="U79" s="622">
        <f>+'10 Gastos  Admon y Ventas'!V24</f>
        <v>7233.333333333333</v>
      </c>
      <c r="V79" s="622">
        <f>+'10 Gastos  Admon y Ventas'!W24</f>
        <v>7233.333333333333</v>
      </c>
      <c r="W79" s="622">
        <f>+'10 Gastos  Admon y Ventas'!X24</f>
        <v>7233.333333333333</v>
      </c>
      <c r="X79" s="622">
        <f>+'10 Gastos  Admon y Ventas'!Y24</f>
        <v>7233.333333333333</v>
      </c>
      <c r="Y79" s="622">
        <f>+'10 Gastos  Admon y Ventas'!Z24</f>
        <v>7233.333333333333</v>
      </c>
      <c r="Z79" s="622">
        <f>+'10 Gastos  Admon y Ventas'!AA24</f>
        <v>7233.333333333333</v>
      </c>
      <c r="AA79" s="622">
        <f>+'10 Gastos  Admon y Ventas'!AB24</f>
        <v>7233.333333333333</v>
      </c>
      <c r="AB79" s="622">
        <f>+'10 Gastos  Admon y Ventas'!AC24</f>
        <v>7233.333333333333</v>
      </c>
      <c r="AC79" s="622">
        <f>+'10 Gastos  Admon y Ventas'!AD24</f>
        <v>86800</v>
      </c>
      <c r="AD79" s="622">
        <f>+'10 Gastos  Admon y Ventas'!AE24</f>
        <v>80800</v>
      </c>
      <c r="AE79" s="622">
        <f>+'10 Gastos  Admon y Ventas'!AF24</f>
        <v>86800</v>
      </c>
      <c r="AF79" s="622">
        <f>+'10 Gastos  Admon y Ventas'!AG24</f>
        <v>89600</v>
      </c>
      <c r="AG79" s="622">
        <f>+'10 Gastos  Admon y Ventas'!AH24</f>
        <v>163600</v>
      </c>
      <c r="AH79" s="622">
        <f>+'10 Gastos  Admon y Ventas'!AI24</f>
        <v>202600</v>
      </c>
      <c r="AI79" s="622">
        <f>+'10 Gastos  Admon y Ventas'!AJ24</f>
        <v>130600</v>
      </c>
      <c r="AJ79" s="622">
        <f>+'10 Gastos  Admon y Ventas'!AK24</f>
        <v>192600</v>
      </c>
      <c r="AK79" s="622">
        <f>+'10 Gastos  Admon y Ventas'!AL24</f>
        <v>195800</v>
      </c>
      <c r="AL79" s="622">
        <f>+'10 Gastos  Admon y Ventas'!AM24</f>
        <v>124600</v>
      </c>
      <c r="AM79" s="622">
        <f>+'10 Gastos  Admon y Ventas'!AN24</f>
        <v>192600</v>
      </c>
    </row>
    <row r="80" spans="1:69" x14ac:dyDescent="0.2">
      <c r="A80" s="622"/>
      <c r="B80" s="622"/>
      <c r="C80" s="622" t="s">
        <v>358</v>
      </c>
      <c r="D80" s="622">
        <f>+'10 Gastos  Admon y Ventas'!E25</f>
        <v>0</v>
      </c>
      <c r="E80" s="622">
        <f>+'10 Gastos  Admon y Ventas'!F25</f>
        <v>0</v>
      </c>
      <c r="F80" s="622">
        <f>+'10 Gastos  Admon y Ventas'!G25</f>
        <v>250</v>
      </c>
      <c r="G80" s="622">
        <f>+'10 Gastos  Admon y Ventas'!H25</f>
        <v>250</v>
      </c>
      <c r="H80" s="622">
        <f>+'10 Gastos  Admon y Ventas'!I25</f>
        <v>250</v>
      </c>
      <c r="I80" s="622">
        <f>+'10 Gastos  Admon y Ventas'!J25</f>
        <v>250</v>
      </c>
      <c r="J80" s="622">
        <f>+'10 Gastos  Admon y Ventas'!K25</f>
        <v>250</v>
      </c>
      <c r="K80" s="622">
        <f>+'10 Gastos  Admon y Ventas'!L25</f>
        <v>250</v>
      </c>
      <c r="L80" s="622">
        <f>+'10 Gastos  Admon y Ventas'!M25</f>
        <v>250</v>
      </c>
      <c r="M80" s="622">
        <f>+'10 Gastos  Admon y Ventas'!N25</f>
        <v>250</v>
      </c>
      <c r="N80" s="622">
        <f>+'10 Gastos  Admon y Ventas'!O25</f>
        <v>250</v>
      </c>
      <c r="O80" s="622">
        <f>+'10 Gastos  Admon y Ventas'!P25</f>
        <v>250</v>
      </c>
      <c r="P80" s="622">
        <f>+'10 Gastos  Admon y Ventas'!Q25</f>
        <v>2500</v>
      </c>
      <c r="Q80" s="622">
        <f>+'10 Gastos  Admon y Ventas'!R25</f>
        <v>208.33333333333334</v>
      </c>
      <c r="R80" s="622">
        <f>+'10 Gastos  Admon y Ventas'!S25</f>
        <v>208.33333333333334</v>
      </c>
      <c r="S80" s="622">
        <f>+'10 Gastos  Admon y Ventas'!T25</f>
        <v>208.33333333333334</v>
      </c>
      <c r="T80" s="622">
        <f>+'10 Gastos  Admon y Ventas'!U25</f>
        <v>208.33333333333334</v>
      </c>
      <c r="U80" s="622">
        <f>+'10 Gastos  Admon y Ventas'!V25</f>
        <v>208.33333333333334</v>
      </c>
      <c r="V80" s="622">
        <f>+'10 Gastos  Admon y Ventas'!W25</f>
        <v>208.33333333333334</v>
      </c>
      <c r="W80" s="622">
        <f>+'10 Gastos  Admon y Ventas'!X25</f>
        <v>208.33333333333334</v>
      </c>
      <c r="X80" s="622">
        <f>+'10 Gastos  Admon y Ventas'!Y25</f>
        <v>208.33333333333334</v>
      </c>
      <c r="Y80" s="622">
        <f>+'10 Gastos  Admon y Ventas'!Z25</f>
        <v>208.33333333333334</v>
      </c>
      <c r="Z80" s="622">
        <f>+'10 Gastos  Admon y Ventas'!AA25</f>
        <v>208.33333333333334</v>
      </c>
      <c r="AA80" s="622">
        <f>+'10 Gastos  Admon y Ventas'!AB25</f>
        <v>208.33333333333334</v>
      </c>
      <c r="AB80" s="622">
        <f>+'10 Gastos  Admon y Ventas'!AC25</f>
        <v>208.33333333333334</v>
      </c>
      <c r="AC80" s="622">
        <f>+'10 Gastos  Admon y Ventas'!AD25</f>
        <v>2500</v>
      </c>
      <c r="AD80" s="622">
        <f>+'10 Gastos  Admon y Ventas'!AE25</f>
        <v>2500</v>
      </c>
      <c r="AE80" s="622">
        <f>+'10 Gastos  Admon y Ventas'!AF25</f>
        <v>2500</v>
      </c>
      <c r="AF80" s="622">
        <f>+'10 Gastos  Admon y Ventas'!AG25</f>
        <v>2500</v>
      </c>
      <c r="AG80" s="622">
        <f>+'10 Gastos  Admon y Ventas'!AH25</f>
        <v>2500</v>
      </c>
      <c r="AH80" s="622">
        <f>+'10 Gastos  Admon y Ventas'!AI25</f>
        <v>2500</v>
      </c>
      <c r="AI80" s="622">
        <f>+'10 Gastos  Admon y Ventas'!AJ25</f>
        <v>2500</v>
      </c>
      <c r="AJ80" s="622">
        <f>+'10 Gastos  Admon y Ventas'!AK25</f>
        <v>2500</v>
      </c>
      <c r="AK80" s="622">
        <f>+'10 Gastos  Admon y Ventas'!AL25</f>
        <v>2500</v>
      </c>
      <c r="AL80" s="622">
        <f>+'10 Gastos  Admon y Ventas'!AM25</f>
        <v>2500</v>
      </c>
      <c r="AM80" s="622">
        <f>+'10 Gastos  Admon y Ventas'!AN25</f>
        <v>2500</v>
      </c>
    </row>
    <row r="81" spans="1:39" x14ac:dyDescent="0.2">
      <c r="A81" s="622"/>
      <c r="B81" s="622"/>
      <c r="C81" s="622" t="s">
        <v>357</v>
      </c>
      <c r="D81" s="622">
        <f>+'11 Gastos de Operación'!D22</f>
        <v>0</v>
      </c>
      <c r="E81" s="622">
        <f>+'11 Gastos de Operación'!E22</f>
        <v>0</v>
      </c>
      <c r="F81" s="622">
        <f>+'11 Gastos de Operación'!F22</f>
        <v>12600</v>
      </c>
      <c r="G81" s="622">
        <f>+'11 Gastos de Operación'!G22</f>
        <v>12600</v>
      </c>
      <c r="H81" s="622">
        <f>+'11 Gastos de Operación'!H22</f>
        <v>12600</v>
      </c>
      <c r="I81" s="622">
        <f>+'11 Gastos de Operación'!I22</f>
        <v>12600</v>
      </c>
      <c r="J81" s="622">
        <f>+'11 Gastos de Operación'!J22</f>
        <v>12600</v>
      </c>
      <c r="K81" s="622">
        <f>+'11 Gastos de Operación'!K22</f>
        <v>12600</v>
      </c>
      <c r="L81" s="622">
        <f>+'11 Gastos de Operación'!L22</f>
        <v>12600</v>
      </c>
      <c r="M81" s="622">
        <f>+'11 Gastos de Operación'!M22</f>
        <v>12600</v>
      </c>
      <c r="N81" s="622">
        <f>+'11 Gastos de Operación'!N22</f>
        <v>12600</v>
      </c>
      <c r="O81" s="622">
        <f>+'11 Gastos de Operación'!O22</f>
        <v>12600</v>
      </c>
      <c r="P81" s="622">
        <f>+'11 Gastos de Operación'!P22</f>
        <v>126000</v>
      </c>
      <c r="Q81" s="622">
        <f>+'11 Gastos de Operación'!Q22</f>
        <v>28083.333333333332</v>
      </c>
      <c r="R81" s="622">
        <f>+'11 Gastos de Operación'!R22</f>
        <v>28083.333333333332</v>
      </c>
      <c r="S81" s="622">
        <f>+'11 Gastos de Operación'!S22</f>
        <v>28083.333333333332</v>
      </c>
      <c r="T81" s="622">
        <f>+'11 Gastos de Operación'!T22</f>
        <v>28083.333333333332</v>
      </c>
      <c r="U81" s="622">
        <f>+'11 Gastos de Operación'!U22</f>
        <v>28083.333333333332</v>
      </c>
      <c r="V81" s="622">
        <f>+'11 Gastos de Operación'!V22</f>
        <v>28083.333333333332</v>
      </c>
      <c r="W81" s="622">
        <f>+'11 Gastos de Operación'!W22</f>
        <v>28083.333333333332</v>
      </c>
      <c r="X81" s="622">
        <f>+'11 Gastos de Operación'!X22</f>
        <v>28083.333333333332</v>
      </c>
      <c r="Y81" s="622">
        <f>+'11 Gastos de Operación'!Y22</f>
        <v>28083.333333333332</v>
      </c>
      <c r="Z81" s="622">
        <f>+'11 Gastos de Operación'!Z22</f>
        <v>28083.333333333332</v>
      </c>
      <c r="AA81" s="622">
        <f>+'11 Gastos de Operación'!AA22</f>
        <v>28083.333333333332</v>
      </c>
      <c r="AB81" s="622">
        <f>+'11 Gastos de Operación'!AB22</f>
        <v>28083.333333333332</v>
      </c>
      <c r="AC81" s="622">
        <f>+'11 Gastos de Operación'!AC22</f>
        <v>337000</v>
      </c>
      <c r="AD81" s="622">
        <f>+'11 Gastos de Operación'!AD22</f>
        <v>126000</v>
      </c>
      <c r="AE81" s="622">
        <f>+'11 Gastos de Operación'!AE22</f>
        <v>337000</v>
      </c>
      <c r="AF81" s="622">
        <f>+'11 Gastos de Operación'!AF22</f>
        <v>375000</v>
      </c>
      <c r="AG81" s="622">
        <f>+'11 Gastos de Operación'!AG22</f>
        <v>375000</v>
      </c>
      <c r="AH81" s="622">
        <f>+'11 Gastos de Operación'!AH22</f>
        <v>419000</v>
      </c>
      <c r="AI81" s="622">
        <f>+'11 Gastos de Operación'!AI22</f>
        <v>303000</v>
      </c>
      <c r="AJ81" s="622">
        <f>+'11 Gastos de Operación'!AJ22</f>
        <v>295000</v>
      </c>
      <c r="AK81" s="622">
        <f>+'11 Gastos de Operación'!AK22</f>
        <v>320000</v>
      </c>
      <c r="AL81" s="622">
        <f>+'11 Gastos de Operación'!AL22</f>
        <v>320000</v>
      </c>
      <c r="AM81" s="622">
        <f>+'11 Gastos de Operación'!AM22</f>
        <v>286000</v>
      </c>
    </row>
    <row r="82" spans="1:39" x14ac:dyDescent="0.2">
      <c r="A82" s="622"/>
      <c r="B82" s="622"/>
      <c r="C82" s="622" t="s">
        <v>358</v>
      </c>
      <c r="D82" s="622">
        <f>+'11 Gastos de Operación'!D23</f>
        <v>0</v>
      </c>
      <c r="E82" s="622">
        <f>+'11 Gastos de Operación'!E23</f>
        <v>0</v>
      </c>
      <c r="F82" s="622">
        <f>+'11 Gastos de Operación'!F23</f>
        <v>2500</v>
      </c>
      <c r="G82" s="622">
        <f>+'11 Gastos de Operación'!G23</f>
        <v>2500</v>
      </c>
      <c r="H82" s="622">
        <f>+'11 Gastos de Operación'!H23</f>
        <v>2500</v>
      </c>
      <c r="I82" s="622">
        <f>+'11 Gastos de Operación'!I23</f>
        <v>2500</v>
      </c>
      <c r="J82" s="622">
        <f>+'11 Gastos de Operación'!J23</f>
        <v>2500</v>
      </c>
      <c r="K82" s="622">
        <f>+'11 Gastos de Operación'!K23</f>
        <v>2500</v>
      </c>
      <c r="L82" s="622">
        <f>+'11 Gastos de Operación'!L23</f>
        <v>2500</v>
      </c>
      <c r="M82" s="622">
        <f>+'11 Gastos de Operación'!M23</f>
        <v>2500</v>
      </c>
      <c r="N82" s="622">
        <f>+'11 Gastos de Operación'!N23</f>
        <v>2500</v>
      </c>
      <c r="O82" s="622">
        <f>+'11 Gastos de Operación'!O23</f>
        <v>2500</v>
      </c>
      <c r="P82" s="622">
        <f>+'11 Gastos de Operación'!P23</f>
        <v>25000</v>
      </c>
      <c r="Q82" s="622">
        <f>+'11 Gastos de Operación'!Q23</f>
        <v>2083.3333333333335</v>
      </c>
      <c r="R82" s="622">
        <f>+'11 Gastos de Operación'!R23</f>
        <v>2083.3333333333335</v>
      </c>
      <c r="S82" s="622">
        <f>+'11 Gastos de Operación'!S23</f>
        <v>2083.3333333333335</v>
      </c>
      <c r="T82" s="622">
        <f>+'11 Gastos de Operación'!T23</f>
        <v>2083.3333333333335</v>
      </c>
      <c r="U82" s="622">
        <f>+'11 Gastos de Operación'!U23</f>
        <v>2083.3333333333335</v>
      </c>
      <c r="V82" s="622">
        <f>+'11 Gastos de Operación'!V23</f>
        <v>2083.3333333333335</v>
      </c>
      <c r="W82" s="622">
        <f>+'11 Gastos de Operación'!W23</f>
        <v>2083.3333333333335</v>
      </c>
      <c r="X82" s="622">
        <f>+'11 Gastos de Operación'!X23</f>
        <v>2083.3333333333335</v>
      </c>
      <c r="Y82" s="622">
        <f>+'11 Gastos de Operación'!Y23</f>
        <v>2083.3333333333335</v>
      </c>
      <c r="Z82" s="622">
        <f>+'11 Gastos de Operación'!Z23</f>
        <v>2083.3333333333335</v>
      </c>
      <c r="AA82" s="622">
        <f>+'11 Gastos de Operación'!AA23</f>
        <v>2083.3333333333335</v>
      </c>
      <c r="AB82" s="622">
        <f>+'11 Gastos de Operación'!AB23</f>
        <v>2083.3333333333335</v>
      </c>
      <c r="AC82" s="622">
        <f>+'11 Gastos de Operación'!AC23</f>
        <v>25000</v>
      </c>
      <c r="AD82" s="622">
        <f>+'11 Gastos de Operación'!AD23</f>
        <v>25000</v>
      </c>
      <c r="AE82" s="622">
        <f>+'11 Gastos de Operación'!AE23</f>
        <v>25000</v>
      </c>
      <c r="AF82" s="622">
        <f>+'11 Gastos de Operación'!AF23</f>
        <v>25000</v>
      </c>
      <c r="AG82" s="622">
        <f>+'11 Gastos de Operación'!AG23</f>
        <v>25000</v>
      </c>
      <c r="AH82" s="622">
        <f>+'11 Gastos de Operación'!AH23</f>
        <v>25000</v>
      </c>
      <c r="AI82" s="622">
        <f>+'11 Gastos de Operación'!AI23</f>
        <v>15000</v>
      </c>
      <c r="AJ82" s="622">
        <f>+'11 Gastos de Operación'!AJ23</f>
        <v>15000</v>
      </c>
      <c r="AK82" s="622">
        <f>+'11 Gastos de Operación'!AK23</f>
        <v>15000</v>
      </c>
      <c r="AL82" s="622">
        <f>+'11 Gastos de Operación'!AL23</f>
        <v>15000</v>
      </c>
      <c r="AM82" s="622">
        <f>+'11 Gastos de Operación'!AM23</f>
        <v>15000</v>
      </c>
    </row>
    <row r="83" spans="1:39" x14ac:dyDescent="0.2">
      <c r="A83" s="622"/>
      <c r="B83" s="622"/>
      <c r="C83" s="622"/>
      <c r="D83" s="622"/>
      <c r="E83" s="622"/>
      <c r="F83" s="622"/>
      <c r="G83" s="622"/>
      <c r="H83" s="622"/>
      <c r="I83" s="622"/>
      <c r="J83" s="622"/>
      <c r="K83" s="622"/>
      <c r="L83" s="622"/>
      <c r="M83" s="622"/>
      <c r="N83" s="622"/>
      <c r="O83" s="622"/>
      <c r="P83" s="622"/>
      <c r="Q83" s="622"/>
      <c r="R83" s="622"/>
      <c r="S83" s="622"/>
      <c r="T83" s="622"/>
      <c r="U83" s="622"/>
      <c r="V83" s="622"/>
      <c r="W83" s="622"/>
      <c r="X83" s="622"/>
      <c r="Y83" s="622"/>
      <c r="Z83" s="622"/>
      <c r="AA83" s="622"/>
      <c r="AB83" s="622"/>
      <c r="AC83" s="622"/>
      <c r="AD83" s="622"/>
      <c r="AE83" s="622"/>
      <c r="AF83" s="622"/>
      <c r="AG83" s="622"/>
      <c r="AH83" s="622"/>
      <c r="AI83" s="622"/>
      <c r="AJ83" s="622"/>
      <c r="AK83" s="622"/>
      <c r="AL83" s="622"/>
      <c r="AM83" s="622"/>
    </row>
    <row r="84" spans="1:39" x14ac:dyDescent="0.2">
      <c r="A84" s="622"/>
      <c r="B84" s="622"/>
      <c r="C84" s="622" t="s">
        <v>357</v>
      </c>
      <c r="D84" s="622">
        <f>+D79+D81</f>
        <v>0</v>
      </c>
      <c r="E84" s="622">
        <f t="shared" ref="E84:AM84" si="46">+E79+E81</f>
        <v>0</v>
      </c>
      <c r="F84" s="622">
        <f t="shared" si="46"/>
        <v>20680</v>
      </c>
      <c r="G84" s="622">
        <f t="shared" si="46"/>
        <v>20680</v>
      </c>
      <c r="H84" s="622">
        <f t="shared" si="46"/>
        <v>20680</v>
      </c>
      <c r="I84" s="622">
        <f t="shared" si="46"/>
        <v>20680</v>
      </c>
      <c r="J84" s="622">
        <f t="shared" si="46"/>
        <v>20680</v>
      </c>
      <c r="K84" s="622">
        <f t="shared" si="46"/>
        <v>20680</v>
      </c>
      <c r="L84" s="622">
        <f t="shared" si="46"/>
        <v>20680</v>
      </c>
      <c r="M84" s="622">
        <f t="shared" si="46"/>
        <v>20680</v>
      </c>
      <c r="N84" s="622">
        <f t="shared" si="46"/>
        <v>20680</v>
      </c>
      <c r="O84" s="622">
        <f t="shared" si="46"/>
        <v>20680</v>
      </c>
      <c r="P84" s="622">
        <f t="shared" si="46"/>
        <v>206800</v>
      </c>
      <c r="Q84" s="622">
        <f t="shared" si="46"/>
        <v>35316.666666666664</v>
      </c>
      <c r="R84" s="622">
        <f t="shared" si="46"/>
        <v>35316.666666666664</v>
      </c>
      <c r="S84" s="622">
        <f t="shared" si="46"/>
        <v>35316.666666666664</v>
      </c>
      <c r="T84" s="622">
        <f t="shared" si="46"/>
        <v>35316.666666666664</v>
      </c>
      <c r="U84" s="622">
        <f t="shared" si="46"/>
        <v>35316.666666666664</v>
      </c>
      <c r="V84" s="622">
        <f t="shared" si="46"/>
        <v>35316.666666666664</v>
      </c>
      <c r="W84" s="622">
        <f t="shared" si="46"/>
        <v>35316.666666666664</v>
      </c>
      <c r="X84" s="622">
        <f t="shared" si="46"/>
        <v>35316.666666666664</v>
      </c>
      <c r="Y84" s="622">
        <f t="shared" si="46"/>
        <v>35316.666666666664</v>
      </c>
      <c r="Z84" s="622">
        <f t="shared" si="46"/>
        <v>35316.666666666664</v>
      </c>
      <c r="AA84" s="622">
        <f t="shared" si="46"/>
        <v>35316.666666666664</v>
      </c>
      <c r="AB84" s="622">
        <f t="shared" si="46"/>
        <v>35316.666666666664</v>
      </c>
      <c r="AC84" s="622">
        <f t="shared" si="46"/>
        <v>423800</v>
      </c>
      <c r="AD84" s="622">
        <f t="shared" si="46"/>
        <v>206800</v>
      </c>
      <c r="AE84" s="622">
        <f t="shared" si="46"/>
        <v>423800</v>
      </c>
      <c r="AF84" s="622">
        <f t="shared" si="46"/>
        <v>464600</v>
      </c>
      <c r="AG84" s="622">
        <f t="shared" si="46"/>
        <v>538600</v>
      </c>
      <c r="AH84" s="622">
        <f t="shared" si="46"/>
        <v>621600</v>
      </c>
      <c r="AI84" s="622">
        <f t="shared" si="46"/>
        <v>433600</v>
      </c>
      <c r="AJ84" s="622">
        <f t="shared" si="46"/>
        <v>487600</v>
      </c>
      <c r="AK84" s="622">
        <f t="shared" si="46"/>
        <v>515800</v>
      </c>
      <c r="AL84" s="622">
        <f t="shared" si="46"/>
        <v>444600</v>
      </c>
      <c r="AM84" s="622">
        <f t="shared" si="46"/>
        <v>478600</v>
      </c>
    </row>
    <row r="85" spans="1:39" x14ac:dyDescent="0.2">
      <c r="A85" s="622"/>
      <c r="B85" s="622"/>
      <c r="C85" s="622" t="s">
        <v>358</v>
      </c>
      <c r="D85" s="622">
        <f>+D80+D82</f>
        <v>0</v>
      </c>
      <c r="E85" s="622">
        <f t="shared" ref="E85:AM85" si="47">+E80+E82</f>
        <v>0</v>
      </c>
      <c r="F85" s="622">
        <f t="shared" si="47"/>
        <v>2750</v>
      </c>
      <c r="G85" s="622">
        <f t="shared" si="47"/>
        <v>2750</v>
      </c>
      <c r="H85" s="622">
        <f t="shared" si="47"/>
        <v>2750</v>
      </c>
      <c r="I85" s="622">
        <f t="shared" si="47"/>
        <v>2750</v>
      </c>
      <c r="J85" s="622">
        <f t="shared" si="47"/>
        <v>2750</v>
      </c>
      <c r="K85" s="622">
        <f t="shared" si="47"/>
        <v>2750</v>
      </c>
      <c r="L85" s="622">
        <f t="shared" si="47"/>
        <v>2750</v>
      </c>
      <c r="M85" s="622">
        <f t="shared" si="47"/>
        <v>2750</v>
      </c>
      <c r="N85" s="622">
        <f t="shared" si="47"/>
        <v>2750</v>
      </c>
      <c r="O85" s="622">
        <f t="shared" si="47"/>
        <v>2750</v>
      </c>
      <c r="P85" s="622">
        <f t="shared" si="47"/>
        <v>27500</v>
      </c>
      <c r="Q85" s="622">
        <f t="shared" si="47"/>
        <v>2291.666666666667</v>
      </c>
      <c r="R85" s="622">
        <f t="shared" si="47"/>
        <v>2291.666666666667</v>
      </c>
      <c r="S85" s="622">
        <f t="shared" si="47"/>
        <v>2291.666666666667</v>
      </c>
      <c r="T85" s="622">
        <f t="shared" si="47"/>
        <v>2291.666666666667</v>
      </c>
      <c r="U85" s="622">
        <f t="shared" si="47"/>
        <v>2291.666666666667</v>
      </c>
      <c r="V85" s="622">
        <f t="shared" si="47"/>
        <v>2291.666666666667</v>
      </c>
      <c r="W85" s="622">
        <f t="shared" si="47"/>
        <v>2291.666666666667</v>
      </c>
      <c r="X85" s="622">
        <f t="shared" si="47"/>
        <v>2291.666666666667</v>
      </c>
      <c r="Y85" s="622">
        <f t="shared" si="47"/>
        <v>2291.666666666667</v>
      </c>
      <c r="Z85" s="622">
        <f t="shared" si="47"/>
        <v>2291.666666666667</v>
      </c>
      <c r="AA85" s="622">
        <f t="shared" si="47"/>
        <v>2291.666666666667</v>
      </c>
      <c r="AB85" s="622">
        <f t="shared" si="47"/>
        <v>2291.666666666667</v>
      </c>
      <c r="AC85" s="622">
        <f t="shared" si="47"/>
        <v>27500</v>
      </c>
      <c r="AD85" s="622">
        <f t="shared" si="47"/>
        <v>27500</v>
      </c>
      <c r="AE85" s="622">
        <f t="shared" si="47"/>
        <v>27500</v>
      </c>
      <c r="AF85" s="622">
        <f t="shared" si="47"/>
        <v>27500</v>
      </c>
      <c r="AG85" s="622">
        <f t="shared" si="47"/>
        <v>27500</v>
      </c>
      <c r="AH85" s="622">
        <f t="shared" si="47"/>
        <v>27500</v>
      </c>
      <c r="AI85" s="622">
        <f t="shared" si="47"/>
        <v>17500</v>
      </c>
      <c r="AJ85" s="622">
        <f t="shared" si="47"/>
        <v>17500</v>
      </c>
      <c r="AK85" s="622">
        <f t="shared" si="47"/>
        <v>17500</v>
      </c>
      <c r="AL85" s="622">
        <f t="shared" si="47"/>
        <v>17500</v>
      </c>
      <c r="AM85" s="622">
        <f t="shared" si="47"/>
        <v>17500</v>
      </c>
    </row>
    <row r="86" spans="1:39" x14ac:dyDescent="0.2">
      <c r="A86" s="622"/>
      <c r="B86" s="622"/>
      <c r="C86" s="622"/>
      <c r="D86" s="622"/>
      <c r="E86" s="622"/>
      <c r="F86" s="622"/>
      <c r="G86" s="622"/>
      <c r="H86" s="622"/>
      <c r="I86" s="622"/>
      <c r="J86" s="622"/>
      <c r="K86" s="622"/>
      <c r="L86" s="622"/>
      <c r="M86" s="622"/>
      <c r="N86" s="622"/>
      <c r="O86" s="622"/>
      <c r="P86" s="622"/>
      <c r="Q86" s="622"/>
      <c r="R86" s="622"/>
      <c r="S86" s="622"/>
      <c r="T86" s="622"/>
      <c r="U86" s="622"/>
      <c r="V86" s="622"/>
      <c r="W86" s="622"/>
      <c r="X86" s="622"/>
      <c r="Y86" s="622"/>
      <c r="Z86" s="622"/>
      <c r="AA86" s="622"/>
      <c r="AB86" s="622"/>
      <c r="AC86" s="622"/>
      <c r="AD86" s="622"/>
      <c r="AE86" s="622"/>
      <c r="AF86" s="622"/>
      <c r="AG86" s="622"/>
      <c r="AH86" s="622"/>
      <c r="AI86" s="622"/>
      <c r="AJ86" s="622"/>
      <c r="AK86" s="622"/>
      <c r="AL86" s="622"/>
      <c r="AM86" s="622"/>
    </row>
    <row r="87" spans="1:39" x14ac:dyDescent="0.2">
      <c r="A87" s="622"/>
      <c r="B87" s="622"/>
      <c r="C87" s="622" t="s">
        <v>357</v>
      </c>
      <c r="D87" s="622">
        <f>+D84</f>
        <v>0</v>
      </c>
      <c r="E87" s="622">
        <f>+E84+D87</f>
        <v>0</v>
      </c>
      <c r="F87" s="622">
        <f t="shared" ref="F87:O87" si="48">+F84+E87</f>
        <v>20680</v>
      </c>
      <c r="G87" s="622">
        <f t="shared" si="48"/>
        <v>41360</v>
      </c>
      <c r="H87" s="622">
        <f t="shared" si="48"/>
        <v>62040</v>
      </c>
      <c r="I87" s="622">
        <f t="shared" si="48"/>
        <v>82720</v>
      </c>
      <c r="J87" s="622">
        <f t="shared" si="48"/>
        <v>103400</v>
      </c>
      <c r="K87" s="622">
        <f t="shared" si="48"/>
        <v>124080</v>
      </c>
      <c r="L87" s="622">
        <f t="shared" si="48"/>
        <v>144760</v>
      </c>
      <c r="M87" s="622">
        <f t="shared" si="48"/>
        <v>165440</v>
      </c>
      <c r="N87" s="622">
        <f t="shared" si="48"/>
        <v>186120</v>
      </c>
      <c r="O87" s="622">
        <f t="shared" si="48"/>
        <v>206800</v>
      </c>
      <c r="P87" s="622">
        <f>+O87</f>
        <v>206800</v>
      </c>
      <c r="Q87" s="622">
        <f>+Q84+O87</f>
        <v>242116.66666666666</v>
      </c>
      <c r="R87" s="622">
        <f t="shared" ref="R87:AB87" si="49">+R84+Q87</f>
        <v>277433.33333333331</v>
      </c>
      <c r="S87" s="622">
        <f t="shared" si="49"/>
        <v>312750</v>
      </c>
      <c r="T87" s="622">
        <f t="shared" si="49"/>
        <v>348066.66666666669</v>
      </c>
      <c r="U87" s="622">
        <f t="shared" si="49"/>
        <v>383383.33333333337</v>
      </c>
      <c r="V87" s="622">
        <f t="shared" si="49"/>
        <v>418700.00000000006</v>
      </c>
      <c r="W87" s="622">
        <f t="shared" si="49"/>
        <v>454016.66666666674</v>
      </c>
      <c r="X87" s="622">
        <f t="shared" si="49"/>
        <v>489333.33333333343</v>
      </c>
      <c r="Y87" s="622">
        <f t="shared" si="49"/>
        <v>524650.00000000012</v>
      </c>
      <c r="Z87" s="622">
        <f t="shared" si="49"/>
        <v>559966.66666666674</v>
      </c>
      <c r="AA87" s="622">
        <f t="shared" si="49"/>
        <v>595283.33333333337</v>
      </c>
      <c r="AB87" s="622">
        <f t="shared" si="49"/>
        <v>630600</v>
      </c>
      <c r="AC87" s="622">
        <f>+AB87</f>
        <v>630600</v>
      </c>
      <c r="AD87" s="622">
        <f>+P87</f>
        <v>206800</v>
      </c>
      <c r="AE87" s="622">
        <f>+AC87</f>
        <v>630600</v>
      </c>
      <c r="AF87" s="622">
        <f t="shared" ref="AF87:AM88" si="50">+AF84+AE87</f>
        <v>1095200</v>
      </c>
      <c r="AG87" s="622">
        <f t="shared" si="50"/>
        <v>1633800</v>
      </c>
      <c r="AH87" s="622">
        <f t="shared" si="50"/>
        <v>2255400</v>
      </c>
      <c r="AI87" s="622">
        <f t="shared" si="50"/>
        <v>2689000</v>
      </c>
      <c r="AJ87" s="622">
        <f t="shared" si="50"/>
        <v>3176600</v>
      </c>
      <c r="AK87" s="622">
        <f t="shared" si="50"/>
        <v>3692400</v>
      </c>
      <c r="AL87" s="622">
        <f t="shared" si="50"/>
        <v>4137000</v>
      </c>
      <c r="AM87" s="622">
        <f t="shared" si="50"/>
        <v>4615600</v>
      </c>
    </row>
    <row r="88" spans="1:39" x14ac:dyDescent="0.2">
      <c r="A88" s="622"/>
      <c r="B88" s="622"/>
      <c r="C88" s="622" t="s">
        <v>358</v>
      </c>
      <c r="D88" s="622">
        <f>+D85</f>
        <v>0</v>
      </c>
      <c r="E88" s="622">
        <f>+E85+D88</f>
        <v>0</v>
      </c>
      <c r="F88" s="622">
        <f t="shared" ref="F88:O88" si="51">+F85+E88</f>
        <v>2750</v>
      </c>
      <c r="G88" s="622">
        <f t="shared" si="51"/>
        <v>5500</v>
      </c>
      <c r="H88" s="622">
        <f t="shared" si="51"/>
        <v>8250</v>
      </c>
      <c r="I88" s="622">
        <f t="shared" si="51"/>
        <v>11000</v>
      </c>
      <c r="J88" s="622">
        <f t="shared" si="51"/>
        <v>13750</v>
      </c>
      <c r="K88" s="622">
        <f t="shared" si="51"/>
        <v>16500</v>
      </c>
      <c r="L88" s="622">
        <f t="shared" si="51"/>
        <v>19250</v>
      </c>
      <c r="M88" s="622">
        <f t="shared" si="51"/>
        <v>22000</v>
      </c>
      <c r="N88" s="622">
        <f t="shared" si="51"/>
        <v>24750</v>
      </c>
      <c r="O88" s="622">
        <f t="shared" si="51"/>
        <v>27500</v>
      </c>
      <c r="P88" s="622">
        <f>+O88</f>
        <v>27500</v>
      </c>
      <c r="Q88" s="622">
        <f>+Q85+O88</f>
        <v>29791.666666666668</v>
      </c>
      <c r="R88" s="622">
        <f t="shared" ref="R88:AB88" si="52">+R85+Q88</f>
        <v>32083.333333333336</v>
      </c>
      <c r="S88" s="622">
        <f t="shared" si="52"/>
        <v>34375</v>
      </c>
      <c r="T88" s="622">
        <f t="shared" si="52"/>
        <v>36666.666666666664</v>
      </c>
      <c r="U88" s="622">
        <f t="shared" si="52"/>
        <v>38958.333333333328</v>
      </c>
      <c r="V88" s="622">
        <f t="shared" si="52"/>
        <v>41249.999999999993</v>
      </c>
      <c r="W88" s="622">
        <f t="shared" si="52"/>
        <v>43541.666666666657</v>
      </c>
      <c r="X88" s="622">
        <f t="shared" si="52"/>
        <v>45833.333333333321</v>
      </c>
      <c r="Y88" s="622">
        <f t="shared" si="52"/>
        <v>48124.999999999985</v>
      </c>
      <c r="Z88" s="622">
        <f t="shared" si="52"/>
        <v>50416.66666666665</v>
      </c>
      <c r="AA88" s="622">
        <f t="shared" si="52"/>
        <v>52708.333333333314</v>
      </c>
      <c r="AB88" s="622">
        <f t="shared" si="52"/>
        <v>54999.999999999978</v>
      </c>
      <c r="AC88" s="622">
        <f>+AB88</f>
        <v>54999.999999999978</v>
      </c>
      <c r="AD88" s="622">
        <f>+P88</f>
        <v>27500</v>
      </c>
      <c r="AE88" s="622">
        <f>+AC88</f>
        <v>54999.999999999978</v>
      </c>
      <c r="AF88" s="622">
        <f t="shared" si="50"/>
        <v>82499.999999999971</v>
      </c>
      <c r="AG88" s="622">
        <f t="shared" si="50"/>
        <v>109999.99999999997</v>
      </c>
      <c r="AH88" s="622">
        <f t="shared" si="50"/>
        <v>137499.99999999997</v>
      </c>
      <c r="AI88" s="622">
        <f t="shared" si="50"/>
        <v>154999.99999999997</v>
      </c>
      <c r="AJ88" s="622">
        <f t="shared" si="50"/>
        <v>172499.99999999997</v>
      </c>
      <c r="AK88" s="622">
        <f t="shared" si="50"/>
        <v>189999.99999999997</v>
      </c>
      <c r="AL88" s="622">
        <f t="shared" si="50"/>
        <v>207499.99999999997</v>
      </c>
      <c r="AM88" s="622">
        <f t="shared" si="50"/>
        <v>224999.99999999997</v>
      </c>
    </row>
  </sheetData>
  <customSheetViews>
    <customSheetView guid="{8FC2DB0D-4D0A-11D3-9924-0080ADC9B26E}" scale="75" fitToPage="1" hiddenRows="1" showRuler="0">
      <pane ySplit="5" topLeftCell="A23" activePane="bottomLeft"/>
      <selection pane="bottomLeft" activeCell="Q67" sqref="Q67"/>
      <pageMargins left="0.98425196850393704" right="0.98425196850393704" top="0.98425196850393704" bottom="0.98425196850393704" header="0" footer="0"/>
      <printOptions horizontalCentered="1" verticalCentered="1"/>
      <pageSetup scale="48" orientation="landscape" blackAndWhite="1" horizontalDpi="300" verticalDpi="360" r:id="rId1"/>
      <headerFooter alignWithMargins="0">
        <oddFooter>&amp;L&amp;D&amp;R&amp;8Proyectos Especiales
SPDy GP</oddFooter>
      </headerFooter>
    </customSheetView>
  </customSheetViews>
  <mergeCells count="63">
    <mergeCell ref="A11:C11"/>
    <mergeCell ref="D11:P11"/>
    <mergeCell ref="Q11:AC11"/>
    <mergeCell ref="AD11:AM11"/>
    <mergeCell ref="AD6:AM6"/>
    <mergeCell ref="Q8:AC8"/>
    <mergeCell ref="Q9:AB9"/>
    <mergeCell ref="AC9:AC10"/>
    <mergeCell ref="A5:C5"/>
    <mergeCell ref="D5:J5"/>
    <mergeCell ref="K5:M5"/>
    <mergeCell ref="A8:B10"/>
    <mergeCell ref="A6:C6"/>
    <mergeCell ref="D6:P6"/>
    <mergeCell ref="C8:C10"/>
    <mergeCell ref="D8:P8"/>
    <mergeCell ref="D9:O9"/>
    <mergeCell ref="P9:P10"/>
    <mergeCell ref="D12:P12"/>
    <mergeCell ref="Q12:AC12"/>
    <mergeCell ref="AD12:AM12"/>
    <mergeCell ref="X5:Z5"/>
    <mergeCell ref="AA5:AC5"/>
    <mergeCell ref="AD8:AM8"/>
    <mergeCell ref="AD5:AG5"/>
    <mergeCell ref="AH5:AJ5"/>
    <mergeCell ref="AK5:AM5"/>
    <mergeCell ref="Q6:AC6"/>
    <mergeCell ref="N5:P5"/>
    <mergeCell ref="Q5:W5"/>
    <mergeCell ref="D30:P30"/>
    <mergeCell ref="Q30:AC30"/>
    <mergeCell ref="AD30:AM30"/>
    <mergeCell ref="A21:C21"/>
    <mergeCell ref="D21:P21"/>
    <mergeCell ref="Q21:AC21"/>
    <mergeCell ref="AD21:AM21"/>
    <mergeCell ref="A40:C40"/>
    <mergeCell ref="D40:P40"/>
    <mergeCell ref="Q40:AC40"/>
    <mergeCell ref="AD40:AM40"/>
    <mergeCell ref="A39:C39"/>
    <mergeCell ref="D39:P39"/>
    <mergeCell ref="Q39:AC39"/>
    <mergeCell ref="AD39:AM39"/>
    <mergeCell ref="D54:P54"/>
    <mergeCell ref="Q54:AC54"/>
    <mergeCell ref="AD54:AM54"/>
    <mergeCell ref="A48:C48"/>
    <mergeCell ref="D48:P48"/>
    <mergeCell ref="Q48:AC48"/>
    <mergeCell ref="AD48:AM48"/>
    <mergeCell ref="A35:B35"/>
    <mergeCell ref="A28:B28"/>
    <mergeCell ref="A12:C12"/>
    <mergeCell ref="A37:B37"/>
    <mergeCell ref="A30:C30"/>
    <mergeCell ref="A61:B61"/>
    <mergeCell ref="A59:B59"/>
    <mergeCell ref="A52:B52"/>
    <mergeCell ref="A46:B46"/>
    <mergeCell ref="A50:B50"/>
    <mergeCell ref="A54:C54"/>
  </mergeCells>
  <phoneticPr fontId="20" type="noConversion"/>
  <pageMargins left="0.39370078740157483" right="0.39370078740157483" top="0.78740157480314965" bottom="0.59055118110236227" header="0.39370078740157483" footer="0.39370078740157483"/>
  <pageSetup scale="50" fitToWidth="3" orientation="landscape" blackAndWhite="1" horizontalDpi="4294967293" verticalDpi="300" r:id="rId2"/>
  <headerFooter alignWithMargins="0">
    <oddHeader>&amp;C&amp;"Arial,Negrita"&amp;7Estudio de Factibilidad para el establecimiento de un mercado de mariscos en Hermosillo, Sonora</oddHeader>
    <oddFooter>&amp;L&amp;"Arial,Normal"&amp;7&amp;F - Hoja: &amp;A&amp;C&amp;"Arial,Normal"&amp;7&amp;D&amp;R&amp;"Arial,Normal"&amp;7&amp;P de  &amp;N</oddFooter>
  </headerFooter>
  <colBreaks count="1" manualBreakCount="1">
    <brk id="29" min="4" max="60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21">
    <tabColor rgb="FFFF0000"/>
    <pageSetUpPr fitToPage="1"/>
  </sheetPr>
  <dimension ref="A2:AN48"/>
  <sheetViews>
    <sheetView view="pageBreakPreview" topLeftCell="A3" zoomScale="80" zoomScaleNormal="60" zoomScaleSheetLayoutView="80" workbookViewId="0">
      <pane xSplit="3" ySplit="6" topLeftCell="J9" activePane="bottomRight" state="frozen"/>
      <selection activeCell="K44" sqref="K44"/>
      <selection pane="topRight" activeCell="K44" sqref="K44"/>
      <selection pane="bottomLeft" activeCell="K44" sqref="K44"/>
      <selection pane="bottomRight" activeCell="P25" sqref="P25"/>
    </sheetView>
  </sheetViews>
  <sheetFormatPr baseColWidth="10" defaultColWidth="9" defaultRowHeight="15" x14ac:dyDescent="0.3"/>
  <cols>
    <col min="1" max="1" width="3.5" style="1" customWidth="1"/>
    <col min="2" max="2" width="27.125" style="1" customWidth="1"/>
    <col min="3" max="3" width="11.75" style="1" customWidth="1"/>
    <col min="4" max="29" width="14.625" style="1" customWidth="1"/>
    <col min="30" max="39" width="15.25" style="1" customWidth="1"/>
    <col min="40" max="40" width="8.75" style="6" customWidth="1"/>
    <col min="41" max="16384" width="9" style="1"/>
  </cols>
  <sheetData>
    <row r="2" spans="1:40" ht="15.75" thickBot="1" x14ac:dyDescent="0.35"/>
    <row r="3" spans="1:40" ht="20.25" thickBot="1" x14ac:dyDescent="0.45">
      <c r="A3" s="1592" t="s">
        <v>155</v>
      </c>
      <c r="B3" s="1593"/>
      <c r="C3" s="1594"/>
      <c r="D3" s="1587" t="str">
        <f>+'19 Resumen'!D4</f>
        <v>La Lasaña de Garfield</v>
      </c>
      <c r="E3" s="1585"/>
      <c r="F3" s="1585"/>
      <c r="G3" s="1585"/>
      <c r="H3" s="1585"/>
      <c r="I3" s="1585"/>
      <c r="J3" s="1585"/>
      <c r="K3" s="1585" t="str">
        <f>+'19 Resumen'!D5</f>
        <v>Martin Delgado</v>
      </c>
      <c r="L3" s="1585"/>
      <c r="M3" s="1585"/>
      <c r="N3" s="1585" t="str">
        <f>+'19 Resumen'!D6</f>
        <v>Grupo Delgado´s</v>
      </c>
      <c r="O3" s="1585"/>
      <c r="P3" s="1586"/>
      <c r="Q3" s="1587" t="str">
        <f>+D3</f>
        <v>La Lasaña de Garfield</v>
      </c>
      <c r="R3" s="1585"/>
      <c r="S3" s="1585"/>
      <c r="T3" s="1585"/>
      <c r="U3" s="1585"/>
      <c r="V3" s="1585"/>
      <c r="W3" s="1585"/>
      <c r="X3" s="1585" t="str">
        <f>+K3</f>
        <v>Martin Delgado</v>
      </c>
      <c r="Y3" s="1585"/>
      <c r="Z3" s="1585"/>
      <c r="AA3" s="1585" t="str">
        <f>+N3</f>
        <v>Grupo Delgado´s</v>
      </c>
      <c r="AB3" s="1585"/>
      <c r="AC3" s="1586"/>
      <c r="AD3" s="1622" t="str">
        <f>+Q3</f>
        <v>La Lasaña de Garfield</v>
      </c>
      <c r="AE3" s="1614"/>
      <c r="AF3" s="1614"/>
      <c r="AG3" s="1614"/>
      <c r="AH3" s="1614" t="str">
        <f>+X3</f>
        <v>Martin Delgado</v>
      </c>
      <c r="AI3" s="1614"/>
      <c r="AJ3" s="1614"/>
      <c r="AK3" s="1614" t="str">
        <f>+AA3</f>
        <v>Grupo Delgado´s</v>
      </c>
      <c r="AL3" s="1614"/>
      <c r="AM3" s="1618"/>
    </row>
    <row r="4" spans="1:40" ht="22.15" customHeight="1" thickBot="1" x14ac:dyDescent="0.35">
      <c r="A4" s="1499">
        <f>+'19 Resumen'!D2</f>
        <v>42747</v>
      </c>
      <c r="B4" s="1500"/>
      <c r="C4" s="1588"/>
      <c r="D4" s="1589" t="s">
        <v>155</v>
      </c>
      <c r="E4" s="1590"/>
      <c r="F4" s="1590"/>
      <c r="G4" s="1590"/>
      <c r="H4" s="1590"/>
      <c r="I4" s="1590"/>
      <c r="J4" s="1590"/>
      <c r="K4" s="1590"/>
      <c r="L4" s="1590"/>
      <c r="M4" s="1590"/>
      <c r="N4" s="1590"/>
      <c r="O4" s="1590"/>
      <c r="P4" s="1591"/>
      <c r="Q4" s="1589" t="str">
        <f>+D4</f>
        <v>Estado de Resultados</v>
      </c>
      <c r="R4" s="1590"/>
      <c r="S4" s="1590"/>
      <c r="T4" s="1590"/>
      <c r="U4" s="1590"/>
      <c r="V4" s="1590"/>
      <c r="W4" s="1590"/>
      <c r="X4" s="1590"/>
      <c r="Y4" s="1590"/>
      <c r="Z4" s="1590"/>
      <c r="AA4" s="1590"/>
      <c r="AB4" s="1590"/>
      <c r="AC4" s="1591"/>
      <c r="AD4" s="1619" t="str">
        <f>+Q4</f>
        <v>Estado de Resultados</v>
      </c>
      <c r="AE4" s="1620"/>
      <c r="AF4" s="1620"/>
      <c r="AG4" s="1620"/>
      <c r="AH4" s="1620"/>
      <c r="AI4" s="1620"/>
      <c r="AJ4" s="1620"/>
      <c r="AK4" s="1620"/>
      <c r="AL4" s="1620"/>
      <c r="AM4" s="1621"/>
    </row>
    <row r="5" spans="1:40" ht="22.15" hidden="1" customHeight="1" thickBot="1" x14ac:dyDescent="0.35">
      <c r="A5" s="194"/>
      <c r="B5" s="195"/>
      <c r="C5" s="77"/>
      <c r="D5" s="197">
        <v>1</v>
      </c>
      <c r="E5" s="198">
        <f t="shared" ref="E5:O5" si="0">+D5+1</f>
        <v>2</v>
      </c>
      <c r="F5" s="198">
        <f t="shared" si="0"/>
        <v>3</v>
      </c>
      <c r="G5" s="198">
        <f t="shared" si="0"/>
        <v>4</v>
      </c>
      <c r="H5" s="198">
        <f t="shared" si="0"/>
        <v>5</v>
      </c>
      <c r="I5" s="198">
        <f t="shared" si="0"/>
        <v>6</v>
      </c>
      <c r="J5" s="198">
        <f t="shared" si="0"/>
        <v>7</v>
      </c>
      <c r="K5" s="198">
        <f t="shared" si="0"/>
        <v>8</v>
      </c>
      <c r="L5" s="198">
        <f t="shared" si="0"/>
        <v>9</v>
      </c>
      <c r="M5" s="198">
        <f t="shared" si="0"/>
        <v>10</v>
      </c>
      <c r="N5" s="198">
        <f t="shared" si="0"/>
        <v>11</v>
      </c>
      <c r="O5" s="198">
        <f t="shared" si="0"/>
        <v>12</v>
      </c>
      <c r="P5" s="199"/>
      <c r="Q5" s="200">
        <f>+O5+1</f>
        <v>13</v>
      </c>
      <c r="R5" s="198">
        <f t="shared" ref="R5:AB5" si="1">+Q5+1</f>
        <v>14</v>
      </c>
      <c r="S5" s="198">
        <f t="shared" si="1"/>
        <v>15</v>
      </c>
      <c r="T5" s="198">
        <f t="shared" si="1"/>
        <v>16</v>
      </c>
      <c r="U5" s="198">
        <f t="shared" si="1"/>
        <v>17</v>
      </c>
      <c r="V5" s="198">
        <f t="shared" si="1"/>
        <v>18</v>
      </c>
      <c r="W5" s="198">
        <f t="shared" si="1"/>
        <v>19</v>
      </c>
      <c r="X5" s="198">
        <f t="shared" si="1"/>
        <v>20</v>
      </c>
      <c r="Y5" s="198">
        <f t="shared" si="1"/>
        <v>21</v>
      </c>
      <c r="Z5" s="198">
        <f t="shared" si="1"/>
        <v>22</v>
      </c>
      <c r="AA5" s="198">
        <f t="shared" si="1"/>
        <v>23</v>
      </c>
      <c r="AB5" s="198">
        <f t="shared" si="1"/>
        <v>24</v>
      </c>
      <c r="AC5" s="201"/>
      <c r="AD5" s="202"/>
      <c r="AE5" s="203"/>
      <c r="AF5" s="203"/>
      <c r="AG5" s="203"/>
      <c r="AH5" s="203"/>
      <c r="AI5" s="203"/>
      <c r="AJ5" s="203"/>
      <c r="AK5" s="203"/>
      <c r="AL5" s="203"/>
      <c r="AM5" s="201"/>
    </row>
    <row r="6" spans="1:40" ht="22.15" customHeight="1" thickBot="1" x14ac:dyDescent="0.35">
      <c r="A6" s="1598" t="s">
        <v>136</v>
      </c>
      <c r="B6" s="1599"/>
      <c r="C6" s="1600"/>
      <c r="D6" s="1595" t="s">
        <v>159</v>
      </c>
      <c r="E6" s="1596"/>
      <c r="F6" s="1596"/>
      <c r="G6" s="1596"/>
      <c r="H6" s="1596"/>
      <c r="I6" s="1596"/>
      <c r="J6" s="1596"/>
      <c r="K6" s="1596"/>
      <c r="L6" s="1596"/>
      <c r="M6" s="1596"/>
      <c r="N6" s="1596"/>
      <c r="O6" s="1596"/>
      <c r="P6" s="1597"/>
      <c r="Q6" s="1595" t="s">
        <v>201</v>
      </c>
      <c r="R6" s="1596"/>
      <c r="S6" s="1596"/>
      <c r="T6" s="1596"/>
      <c r="U6" s="1596"/>
      <c r="V6" s="1596"/>
      <c r="W6" s="1596"/>
      <c r="X6" s="1596"/>
      <c r="Y6" s="1596"/>
      <c r="Z6" s="1596"/>
      <c r="AA6" s="1596"/>
      <c r="AB6" s="1596"/>
      <c r="AC6" s="1597"/>
      <c r="AD6" s="1615" t="s">
        <v>158</v>
      </c>
      <c r="AE6" s="1616"/>
      <c r="AF6" s="1616"/>
      <c r="AG6" s="1616"/>
      <c r="AH6" s="1616"/>
      <c r="AI6" s="1616"/>
      <c r="AJ6" s="1616"/>
      <c r="AK6" s="1616"/>
      <c r="AL6" s="1616"/>
      <c r="AM6" s="1617"/>
    </row>
    <row r="7" spans="1:40" ht="22.15" customHeight="1" x14ac:dyDescent="0.3">
      <c r="A7" s="1601"/>
      <c r="B7" s="1602"/>
      <c r="C7" s="1603"/>
      <c r="D7" s="1607">
        <f>+'5 Estado de Fuentes y Usos'!C9</f>
        <v>2017</v>
      </c>
      <c r="E7" s="1608"/>
      <c r="F7" s="1608"/>
      <c r="G7" s="1608"/>
      <c r="H7" s="1608"/>
      <c r="I7" s="1608"/>
      <c r="J7" s="1608"/>
      <c r="K7" s="1608"/>
      <c r="L7" s="1608"/>
      <c r="M7" s="1608"/>
      <c r="N7" s="1608"/>
      <c r="O7" s="1608"/>
      <c r="P7" s="1609" t="s">
        <v>130</v>
      </c>
      <c r="Q7" s="1611">
        <f>+D7+1</f>
        <v>2018</v>
      </c>
      <c r="R7" s="1608"/>
      <c r="S7" s="1608"/>
      <c r="T7" s="1608"/>
      <c r="U7" s="1608"/>
      <c r="V7" s="1608"/>
      <c r="W7" s="1608"/>
      <c r="X7" s="1608"/>
      <c r="Y7" s="1608"/>
      <c r="Z7" s="1608"/>
      <c r="AA7" s="1608"/>
      <c r="AB7" s="1612"/>
      <c r="AC7" s="1443" t="s">
        <v>132</v>
      </c>
      <c r="AD7" s="577" t="s">
        <v>1</v>
      </c>
      <c r="AE7" s="578" t="s">
        <v>1</v>
      </c>
      <c r="AF7" s="578" t="s">
        <v>1</v>
      </c>
      <c r="AG7" s="578" t="s">
        <v>1</v>
      </c>
      <c r="AH7" s="578" t="s">
        <v>1</v>
      </c>
      <c r="AI7" s="578" t="s">
        <v>1</v>
      </c>
      <c r="AJ7" s="578" t="s">
        <v>1</v>
      </c>
      <c r="AK7" s="578" t="s">
        <v>1</v>
      </c>
      <c r="AL7" s="578" t="s">
        <v>1</v>
      </c>
      <c r="AM7" s="579" t="s">
        <v>1</v>
      </c>
    </row>
    <row r="8" spans="1:40" ht="22.15" customHeight="1" thickBot="1" x14ac:dyDescent="0.4">
      <c r="A8" s="1604"/>
      <c r="B8" s="1605"/>
      <c r="C8" s="1606"/>
      <c r="D8" s="339" t="s">
        <v>60</v>
      </c>
      <c r="E8" s="340" t="s">
        <v>61</v>
      </c>
      <c r="F8" s="340" t="s">
        <v>62</v>
      </c>
      <c r="G8" s="340" t="s">
        <v>63</v>
      </c>
      <c r="H8" s="340" t="s">
        <v>64</v>
      </c>
      <c r="I8" s="340" t="s">
        <v>65</v>
      </c>
      <c r="J8" s="340" t="s">
        <v>66</v>
      </c>
      <c r="K8" s="340" t="s">
        <v>67</v>
      </c>
      <c r="L8" s="340" t="s">
        <v>68</v>
      </c>
      <c r="M8" s="340" t="s">
        <v>69</v>
      </c>
      <c r="N8" s="340" t="s">
        <v>70</v>
      </c>
      <c r="O8" s="340" t="s">
        <v>71</v>
      </c>
      <c r="P8" s="1610"/>
      <c r="Q8" s="580" t="s">
        <v>60</v>
      </c>
      <c r="R8" s="340" t="s">
        <v>61</v>
      </c>
      <c r="S8" s="340" t="s">
        <v>62</v>
      </c>
      <c r="T8" s="340" t="s">
        <v>63</v>
      </c>
      <c r="U8" s="340" t="s">
        <v>64</v>
      </c>
      <c r="V8" s="340" t="s">
        <v>65</v>
      </c>
      <c r="W8" s="340" t="s">
        <v>66</v>
      </c>
      <c r="X8" s="340" t="s">
        <v>67</v>
      </c>
      <c r="Y8" s="340" t="s">
        <v>68</v>
      </c>
      <c r="Z8" s="340" t="s">
        <v>69</v>
      </c>
      <c r="AA8" s="340" t="s">
        <v>70</v>
      </c>
      <c r="AB8" s="340" t="s">
        <v>71</v>
      </c>
      <c r="AC8" s="1613"/>
      <c r="AD8" s="299">
        <f>+D7</f>
        <v>2017</v>
      </c>
      <c r="AE8" s="82">
        <f>+AD8+1</f>
        <v>2018</v>
      </c>
      <c r="AF8" s="82">
        <f t="shared" ref="AF8:AM8" si="2">+AE8+1</f>
        <v>2019</v>
      </c>
      <c r="AG8" s="82">
        <f t="shared" si="2"/>
        <v>2020</v>
      </c>
      <c r="AH8" s="82">
        <f t="shared" si="2"/>
        <v>2021</v>
      </c>
      <c r="AI8" s="82">
        <f t="shared" si="2"/>
        <v>2022</v>
      </c>
      <c r="AJ8" s="82">
        <f t="shared" si="2"/>
        <v>2023</v>
      </c>
      <c r="AK8" s="82">
        <f t="shared" si="2"/>
        <v>2024</v>
      </c>
      <c r="AL8" s="82">
        <f t="shared" si="2"/>
        <v>2025</v>
      </c>
      <c r="AM8" s="83">
        <f t="shared" si="2"/>
        <v>2026</v>
      </c>
    </row>
    <row r="9" spans="1:40" ht="15" customHeight="1" x14ac:dyDescent="0.35">
      <c r="A9" s="1583" t="s">
        <v>134</v>
      </c>
      <c r="B9" s="1584"/>
      <c r="C9" s="581"/>
      <c r="D9" s="582"/>
      <c r="E9" s="583"/>
      <c r="F9" s="583"/>
      <c r="G9" s="583"/>
      <c r="H9" s="583"/>
      <c r="I9" s="583"/>
      <c r="J9" s="583"/>
      <c r="K9" s="583"/>
      <c r="L9" s="583"/>
      <c r="M9" s="583"/>
      <c r="N9" s="583"/>
      <c r="O9" s="583"/>
      <c r="P9" s="584"/>
      <c r="Q9" s="583"/>
      <c r="R9" s="583"/>
      <c r="S9" s="583"/>
      <c r="T9" s="583"/>
      <c r="U9" s="583"/>
      <c r="V9" s="583"/>
      <c r="W9" s="583"/>
      <c r="X9" s="583"/>
      <c r="Y9" s="583"/>
      <c r="Z9" s="583"/>
      <c r="AA9" s="583"/>
      <c r="AB9" s="583"/>
      <c r="AC9" s="584"/>
      <c r="AD9" s="585"/>
      <c r="AE9" s="586"/>
      <c r="AF9" s="586"/>
      <c r="AG9" s="586"/>
      <c r="AH9" s="586"/>
      <c r="AI9" s="586"/>
      <c r="AJ9" s="586"/>
      <c r="AK9" s="586"/>
      <c r="AL9" s="586"/>
      <c r="AM9" s="587"/>
    </row>
    <row r="10" spans="1:40" ht="15" customHeight="1" x14ac:dyDescent="0.3">
      <c r="A10" s="355"/>
      <c r="B10" s="348" t="s">
        <v>392</v>
      </c>
      <c r="C10" s="348"/>
      <c r="D10" s="97">
        <f>+'9 Ingresos'!D22</f>
        <v>0</v>
      </c>
      <c r="E10" s="97">
        <f>+'9 Ingresos'!E22</f>
        <v>0</v>
      </c>
      <c r="F10" s="97">
        <f>+'9 Ingresos'!F22</f>
        <v>0</v>
      </c>
      <c r="G10" s="97">
        <f>+'9 Ingresos'!G22</f>
        <v>0</v>
      </c>
      <c r="H10" s="97">
        <f>+'9 Ingresos'!H22</f>
        <v>0</v>
      </c>
      <c r="I10" s="97">
        <f>+'9 Ingresos'!I22</f>
        <v>1274400</v>
      </c>
      <c r="J10" s="97">
        <f>+'9 Ingresos'!J22</f>
        <v>1152270</v>
      </c>
      <c r="K10" s="97">
        <f>+'9 Ingresos'!K22</f>
        <v>987660</v>
      </c>
      <c r="L10" s="97">
        <f>+'9 Ingresos'!L22</f>
        <v>1115100</v>
      </c>
      <c r="M10" s="97">
        <f>+'9 Ingresos'!M22</f>
        <v>1975320</v>
      </c>
      <c r="N10" s="97">
        <f>+'9 Ingresos'!N22</f>
        <v>2389500</v>
      </c>
      <c r="O10" s="97">
        <f>+'9 Ingresos'!O22</f>
        <v>2962980</v>
      </c>
      <c r="P10" s="113">
        <f>+'9 Ingresos'!P22</f>
        <v>11857230</v>
      </c>
      <c r="Q10" s="114">
        <f>+'9 Ingresos'!Q22</f>
        <v>1086426</v>
      </c>
      <c r="R10" s="114">
        <f>+'9 Ingresos'!R22</f>
        <v>1635480</v>
      </c>
      <c r="S10" s="183">
        <f>+'9 Ingresos'!S22</f>
        <v>1720174.5</v>
      </c>
      <c r="T10" s="183">
        <f>+'9 Ingresos'!T22</f>
        <v>1664685</v>
      </c>
      <c r="U10" s="183">
        <f>+'9 Ingresos'!U22</f>
        <v>2172852</v>
      </c>
      <c r="V10" s="183">
        <f>+'9 Ingresos'!V22</f>
        <v>1401840</v>
      </c>
      <c r="W10" s="183">
        <f>+'9 Ingresos'!W22</f>
        <v>1267497</v>
      </c>
      <c r="X10" s="183">
        <f>+'9 Ingresos'!X22</f>
        <v>1086426</v>
      </c>
      <c r="Y10" s="183">
        <f>+'9 Ingresos'!Y22</f>
        <v>1226610</v>
      </c>
      <c r="Z10" s="183">
        <f>+'9 Ingresos'!Z22</f>
        <v>2172852</v>
      </c>
      <c r="AA10" s="183">
        <f>+'9 Ingresos'!AA22</f>
        <v>2628450</v>
      </c>
      <c r="AB10" s="183">
        <f>+'9 Ingresos'!AB22</f>
        <v>3259278</v>
      </c>
      <c r="AC10" s="97">
        <f>+'9 Ingresos'!AC22</f>
        <v>21322570.5</v>
      </c>
      <c r="AD10" s="109">
        <f>+'9 Ingresos'!AD22</f>
        <v>11857230</v>
      </c>
      <c r="AE10" s="109">
        <f>+'9 Ingresos'!AE22</f>
        <v>21322570.5</v>
      </c>
      <c r="AF10" s="109">
        <f>+'9 Ingresos'!AF22</f>
        <v>23454827.550000004</v>
      </c>
      <c r="AG10" s="109">
        <f>+'9 Ingresos'!AG22</f>
        <v>25800310.305000003</v>
      </c>
      <c r="AH10" s="109">
        <f>+'9 Ingresos'!AH22</f>
        <v>28380341.335500006</v>
      </c>
      <c r="AI10" s="109">
        <f>+'9 Ingresos'!AI22</f>
        <v>30650768.642340008</v>
      </c>
      <c r="AJ10" s="109">
        <f>+'9 Ingresos'!AJ22</f>
        <v>33102830.133727208</v>
      </c>
      <c r="AK10" s="109">
        <f>+'9 Ingresos'!AK22</f>
        <v>35751056.544425391</v>
      </c>
      <c r="AL10" s="109">
        <f>+'9 Ingresos'!AL22</f>
        <v>38611141.067979425</v>
      </c>
      <c r="AM10" s="109">
        <f>+'9 Ingresos'!AM22</f>
        <v>41700032.353417777</v>
      </c>
    </row>
    <row r="11" spans="1:40" ht="15" customHeight="1" x14ac:dyDescent="0.3">
      <c r="A11" s="355"/>
      <c r="B11" s="348" t="s">
        <v>393</v>
      </c>
      <c r="C11" s="271"/>
      <c r="D11" s="730"/>
      <c r="E11" s="731"/>
      <c r="F11" s="731"/>
      <c r="G11" s="731"/>
      <c r="H11" s="731"/>
      <c r="I11" s="731"/>
      <c r="J11" s="731"/>
      <c r="K11" s="731"/>
      <c r="L11" s="731"/>
      <c r="M11" s="731"/>
      <c r="N11" s="731"/>
      <c r="O11" s="731"/>
      <c r="P11" s="732"/>
      <c r="Q11" s="733"/>
      <c r="R11" s="734"/>
      <c r="S11" s="734"/>
      <c r="T11" s="734"/>
      <c r="U11" s="734"/>
      <c r="V11" s="734"/>
      <c r="W11" s="734"/>
      <c r="X11" s="734"/>
      <c r="Y11" s="734"/>
      <c r="Z11" s="734"/>
      <c r="AA11" s="734"/>
      <c r="AB11" s="734"/>
      <c r="AC11" s="735"/>
      <c r="AD11" s="686"/>
      <c r="AE11" s="11"/>
      <c r="AF11" s="11"/>
      <c r="AG11" s="11"/>
      <c r="AH11" s="11"/>
      <c r="AI11" s="11"/>
      <c r="AJ11" s="11"/>
      <c r="AK11" s="11"/>
      <c r="AL11" s="11"/>
      <c r="AM11" s="11"/>
    </row>
    <row r="12" spans="1:40" ht="15" customHeight="1" thickBot="1" x14ac:dyDescent="0.35">
      <c r="A12" s="357" t="s">
        <v>95</v>
      </c>
      <c r="B12" s="588"/>
      <c r="C12" s="272"/>
      <c r="D12" s="284">
        <f>SUM(D10:D11)</f>
        <v>0</v>
      </c>
      <c r="E12" s="117">
        <f>SUM(E10:E11)</f>
        <v>0</v>
      </c>
      <c r="F12" s="117">
        <f>SUM(F10:F11)</f>
        <v>0</v>
      </c>
      <c r="G12" s="117">
        <f t="shared" ref="G12:AM12" si="3">SUM(G10:G11)</f>
        <v>0</v>
      </c>
      <c r="H12" s="117">
        <f t="shared" si="3"/>
        <v>0</v>
      </c>
      <c r="I12" s="117">
        <f t="shared" si="3"/>
        <v>1274400</v>
      </c>
      <c r="J12" s="117">
        <f t="shared" si="3"/>
        <v>1152270</v>
      </c>
      <c r="K12" s="117">
        <f t="shared" si="3"/>
        <v>987660</v>
      </c>
      <c r="L12" s="117">
        <f t="shared" si="3"/>
        <v>1115100</v>
      </c>
      <c r="M12" s="117">
        <f t="shared" si="3"/>
        <v>1975320</v>
      </c>
      <c r="N12" s="117">
        <f t="shared" si="3"/>
        <v>2389500</v>
      </c>
      <c r="O12" s="117">
        <f t="shared" si="3"/>
        <v>2962980</v>
      </c>
      <c r="P12" s="179">
        <f t="shared" si="3"/>
        <v>11857230</v>
      </c>
      <c r="Q12" s="516">
        <f t="shared" si="3"/>
        <v>1086426</v>
      </c>
      <c r="R12" s="117">
        <f t="shared" si="3"/>
        <v>1635480</v>
      </c>
      <c r="S12" s="117">
        <f t="shared" si="3"/>
        <v>1720174.5</v>
      </c>
      <c r="T12" s="117">
        <f t="shared" si="3"/>
        <v>1664685</v>
      </c>
      <c r="U12" s="117">
        <f t="shared" si="3"/>
        <v>2172852</v>
      </c>
      <c r="V12" s="117">
        <f t="shared" si="3"/>
        <v>1401840</v>
      </c>
      <c r="W12" s="117">
        <f t="shared" si="3"/>
        <v>1267497</v>
      </c>
      <c r="X12" s="117">
        <f t="shared" si="3"/>
        <v>1086426</v>
      </c>
      <c r="Y12" s="117">
        <f t="shared" si="3"/>
        <v>1226610</v>
      </c>
      <c r="Z12" s="117">
        <f t="shared" si="3"/>
        <v>2172852</v>
      </c>
      <c r="AA12" s="117">
        <f t="shared" si="3"/>
        <v>2628450</v>
      </c>
      <c r="AB12" s="117">
        <f t="shared" si="3"/>
        <v>3259278</v>
      </c>
      <c r="AC12" s="117">
        <f t="shared" si="3"/>
        <v>21322570.5</v>
      </c>
      <c r="AD12" s="284">
        <f t="shared" si="3"/>
        <v>11857230</v>
      </c>
      <c r="AE12" s="117">
        <f t="shared" si="3"/>
        <v>21322570.5</v>
      </c>
      <c r="AF12" s="117">
        <f t="shared" si="3"/>
        <v>23454827.550000004</v>
      </c>
      <c r="AG12" s="117">
        <f t="shared" si="3"/>
        <v>25800310.305000003</v>
      </c>
      <c r="AH12" s="117">
        <f t="shared" si="3"/>
        <v>28380341.335500006</v>
      </c>
      <c r="AI12" s="117">
        <f t="shared" si="3"/>
        <v>30650768.642340008</v>
      </c>
      <c r="AJ12" s="117">
        <f t="shared" si="3"/>
        <v>33102830.133727208</v>
      </c>
      <c r="AK12" s="117">
        <f t="shared" si="3"/>
        <v>35751056.544425391</v>
      </c>
      <c r="AL12" s="117">
        <f t="shared" si="3"/>
        <v>38611141.067979425</v>
      </c>
      <c r="AM12" s="179">
        <f t="shared" si="3"/>
        <v>41700032.353417777</v>
      </c>
    </row>
    <row r="13" spans="1:40" ht="15" customHeight="1" thickBot="1" x14ac:dyDescent="0.35">
      <c r="A13" s="184"/>
      <c r="B13" s="589"/>
      <c r="C13" s="590"/>
      <c r="D13" s="360"/>
      <c r="E13" s="121"/>
      <c r="F13" s="121"/>
      <c r="G13" s="121"/>
      <c r="H13" s="121"/>
      <c r="I13" s="121"/>
      <c r="J13" s="121"/>
      <c r="K13" s="121"/>
      <c r="L13" s="121"/>
      <c r="M13" s="121"/>
      <c r="N13" s="121"/>
      <c r="O13" s="121"/>
      <c r="P13" s="128"/>
      <c r="Q13" s="360"/>
      <c r="R13" s="121"/>
      <c r="S13" s="121"/>
      <c r="T13" s="121"/>
      <c r="U13" s="121"/>
      <c r="V13" s="121"/>
      <c r="W13" s="121"/>
      <c r="X13" s="121"/>
      <c r="Y13" s="121"/>
      <c r="Z13" s="121"/>
      <c r="AA13" s="121"/>
      <c r="AB13" s="121"/>
      <c r="AC13" s="128"/>
      <c r="AD13" s="360"/>
      <c r="AE13" s="121"/>
      <c r="AF13" s="121"/>
      <c r="AG13" s="121"/>
      <c r="AH13" s="121"/>
      <c r="AI13" s="121"/>
      <c r="AJ13" s="121"/>
      <c r="AK13" s="121"/>
      <c r="AL13" s="121"/>
      <c r="AM13" s="128"/>
      <c r="AN13" s="3"/>
    </row>
    <row r="14" spans="1:40" ht="15" customHeight="1" x14ac:dyDescent="0.3">
      <c r="A14" s="351"/>
      <c r="B14" s="591" t="s">
        <v>13</v>
      </c>
      <c r="C14" s="592"/>
      <c r="D14" s="337">
        <f>+'12 Costo Materias Primas'!C23+'13 Costo Personal d Operaciones'!E16</f>
        <v>0</v>
      </c>
      <c r="E14" s="129">
        <f>+'12 Costo Materias Primas'!D23+'13 Costo Personal d Operaciones'!F16</f>
        <v>0</v>
      </c>
      <c r="F14" s="129">
        <f>+'12 Costo Materias Primas'!E23+'13 Costo Personal d Operaciones'!G16</f>
        <v>0</v>
      </c>
      <c r="G14" s="129">
        <f>+'12 Costo Materias Primas'!F23+'13 Costo Personal d Operaciones'!H16</f>
        <v>0</v>
      </c>
      <c r="H14" s="129">
        <f>+'12 Costo Materias Primas'!G23+'13 Costo Personal d Operaciones'!I16</f>
        <v>127500</v>
      </c>
      <c r="I14" s="129">
        <f>+'12 Costo Materias Primas'!H23+'13 Costo Personal d Operaciones'!J16</f>
        <v>651060</v>
      </c>
      <c r="J14" s="129">
        <f>+'12 Costo Materias Primas'!I23+'13 Costo Personal d Operaciones'!K16</f>
        <v>600885.5</v>
      </c>
      <c r="K14" s="129">
        <f>+'12 Costo Materias Primas'!J23+'13 Costo Personal d Operaciones'!L16</f>
        <v>533259</v>
      </c>
      <c r="L14" s="129">
        <f>+'12 Costo Materias Primas'!K23+'13 Costo Personal d Operaciones'!M16</f>
        <v>585615</v>
      </c>
      <c r="M14" s="129">
        <f>+'12 Costo Materias Primas'!L23+'13 Costo Personal d Operaciones'!N16</f>
        <v>939018</v>
      </c>
      <c r="N14" s="129">
        <f>+'12 Costo Materias Primas'!M23+'13 Costo Personal d Operaciones'!O16</f>
        <v>1109175</v>
      </c>
      <c r="O14" s="129">
        <f>+'12 Costo Materias Primas'!N23+'13 Costo Personal d Operaciones'!P16</f>
        <v>1344777</v>
      </c>
      <c r="P14" s="353">
        <f>+'12 Costo Materias Primas'!O23+'13 Costo Personal d Operaciones'!Q16</f>
        <v>5891289.5</v>
      </c>
      <c r="Q14" s="337">
        <f>+'12 Costo Materias Primas'!P23+'13 Costo Personal d Operaciones'!R16</f>
        <v>584034.9</v>
      </c>
      <c r="R14" s="129">
        <f>+'12 Costo Materias Primas'!Q23+'13 Costo Personal d Operaciones'!S16</f>
        <v>809602</v>
      </c>
      <c r="S14" s="129">
        <f>+'12 Costo Materias Primas'!R23+'13 Costo Personal d Operaciones'!T16</f>
        <v>844396.92500000005</v>
      </c>
      <c r="T14" s="129">
        <f>+'12 Costo Materias Primas'!S23+'13 Costo Personal d Operaciones'!U16</f>
        <v>821600.25000000012</v>
      </c>
      <c r="U14" s="129">
        <f>+'12 Costo Materias Primas'!T23+'13 Costo Personal d Operaciones'!V16</f>
        <v>1030369.8</v>
      </c>
      <c r="V14" s="129">
        <f>+'12 Costo Materias Primas'!U23+'13 Costo Personal d Operaciones'!W16</f>
        <v>713616</v>
      </c>
      <c r="W14" s="129">
        <f>+'12 Costo Materias Primas'!V23+'13 Costo Personal d Operaciones'!X16</f>
        <v>658424.05000000005</v>
      </c>
      <c r="X14" s="129">
        <f>+'12 Costo Materias Primas'!W23+'13 Costo Personal d Operaciones'!Y16</f>
        <v>584034.9</v>
      </c>
      <c r="Y14" s="129">
        <f>+'12 Costo Materias Primas'!X23+'13 Costo Personal d Operaciones'!Z16</f>
        <v>641626.5</v>
      </c>
      <c r="Z14" s="129">
        <f>+'12 Costo Materias Primas'!Y23+'13 Costo Personal d Operaciones'!AA16</f>
        <v>1030369.8</v>
      </c>
      <c r="AA14" s="129">
        <f>+'12 Costo Materias Primas'!Z23+'13 Costo Personal d Operaciones'!AB16</f>
        <v>1217542.5</v>
      </c>
      <c r="AB14" s="129">
        <f>+'12 Costo Materias Primas'!AA23+'13 Costo Personal d Operaciones'!AC16</f>
        <v>1476704.7000000004</v>
      </c>
      <c r="AC14" s="353">
        <f>+'12 Costo Materias Primas'!AB23+'13 Costo Personal d Operaciones'!AD16</f>
        <v>10412322.324999999</v>
      </c>
      <c r="AD14" s="337">
        <f>+'12 Costo Materias Primas'!AC23+'13 Costo Personal d Operaciones'!AE16</f>
        <v>5891289.5</v>
      </c>
      <c r="AE14" s="129">
        <f>+'12 Costo Materias Primas'!AD23+'13 Costo Personal d Operaciones'!AF16</f>
        <v>10412322.325000001</v>
      </c>
      <c r="AF14" s="129">
        <f>+'12 Costo Materias Primas'!AE23+'13 Costo Personal d Operaciones'!AG16</f>
        <v>11420506.557500001</v>
      </c>
      <c r="AG14" s="129">
        <f>+'12 Costo Materias Primas'!AF23+'13 Costo Personal d Operaciones'!AH16</f>
        <v>12526865.37325</v>
      </c>
      <c r="AH14" s="129">
        <f>+'12 Costo Materias Primas'!AG23+'13 Costo Personal d Operaciones'!AI16</f>
        <v>13741004.723375004</v>
      </c>
      <c r="AI14" s="129">
        <f>+'12 Costo Materias Primas'!AH23+'13 Costo Personal d Operaciones'!AJ16</f>
        <v>14806980.331504205</v>
      </c>
      <c r="AJ14" s="129">
        <f>+'12 Costo Materias Primas'!AI23+'13 Costo Personal d Operaciones'!AK16</f>
        <v>15956102.483020328</v>
      </c>
      <c r="AK14" s="129">
        <f>+'12 Costo Materias Primas'!AJ23+'13 Costo Personal d Operaciones'!AL16</f>
        <v>17194886.485057477</v>
      </c>
      <c r="AL14" s="129">
        <f>+'12 Costo Materias Primas'!AK23+'13 Costo Personal d Operaciones'!AM16</f>
        <v>18530360.138674911</v>
      </c>
      <c r="AM14" s="353">
        <f>+'12 Costo Materias Primas'!AL23+'13 Costo Personal d Operaciones'!AN16</f>
        <v>19970104.179609757</v>
      </c>
    </row>
    <row r="15" spans="1:40" ht="15" customHeight="1" thickBot="1" x14ac:dyDescent="0.35">
      <c r="A15" s="593" t="s">
        <v>18</v>
      </c>
      <c r="B15" s="594"/>
      <c r="C15" s="272"/>
      <c r="D15" s="284">
        <f t="shared" ref="D15:P15" si="4">+D12-D14</f>
        <v>0</v>
      </c>
      <c r="E15" s="117">
        <f t="shared" si="4"/>
        <v>0</v>
      </c>
      <c r="F15" s="117">
        <f t="shared" si="4"/>
        <v>0</v>
      </c>
      <c r="G15" s="117">
        <f t="shared" si="4"/>
        <v>0</v>
      </c>
      <c r="H15" s="117">
        <f t="shared" si="4"/>
        <v>-127500</v>
      </c>
      <c r="I15" s="117">
        <f t="shared" si="4"/>
        <v>623340</v>
      </c>
      <c r="J15" s="117">
        <f t="shared" si="4"/>
        <v>551384.5</v>
      </c>
      <c r="K15" s="117">
        <f t="shared" si="4"/>
        <v>454401</v>
      </c>
      <c r="L15" s="117">
        <f t="shared" si="4"/>
        <v>529485</v>
      </c>
      <c r="M15" s="117">
        <f t="shared" si="4"/>
        <v>1036302</v>
      </c>
      <c r="N15" s="117">
        <f t="shared" si="4"/>
        <v>1280325</v>
      </c>
      <c r="O15" s="117">
        <f t="shared" si="4"/>
        <v>1618203</v>
      </c>
      <c r="P15" s="179">
        <f t="shared" si="4"/>
        <v>5965940.5</v>
      </c>
      <c r="Q15" s="284">
        <f t="shared" ref="Q15:AB15" si="5">+Q12-Q14</f>
        <v>502391.1</v>
      </c>
      <c r="R15" s="117">
        <f t="shared" si="5"/>
        <v>825878</v>
      </c>
      <c r="S15" s="117">
        <f t="shared" si="5"/>
        <v>875777.57499999995</v>
      </c>
      <c r="T15" s="117">
        <f t="shared" si="5"/>
        <v>843084.74999999988</v>
      </c>
      <c r="U15" s="117">
        <f t="shared" si="5"/>
        <v>1142482.2</v>
      </c>
      <c r="V15" s="117">
        <f t="shared" si="5"/>
        <v>688224</v>
      </c>
      <c r="W15" s="117">
        <f t="shared" si="5"/>
        <v>609072.94999999995</v>
      </c>
      <c r="X15" s="117">
        <f t="shared" si="5"/>
        <v>502391.1</v>
      </c>
      <c r="Y15" s="117">
        <f t="shared" si="5"/>
        <v>584983.5</v>
      </c>
      <c r="Z15" s="117">
        <f t="shared" si="5"/>
        <v>1142482.2</v>
      </c>
      <c r="AA15" s="117">
        <f t="shared" si="5"/>
        <v>1410907.5</v>
      </c>
      <c r="AB15" s="117">
        <f t="shared" si="5"/>
        <v>1782573.2999999996</v>
      </c>
      <c r="AC15" s="179">
        <f t="shared" ref="AC15:AH15" si="6">+AC12-AC14</f>
        <v>10910248.175000001</v>
      </c>
      <c r="AD15" s="284">
        <f t="shared" si="6"/>
        <v>5965940.5</v>
      </c>
      <c r="AE15" s="117">
        <f t="shared" si="6"/>
        <v>10910248.174999999</v>
      </c>
      <c r="AF15" s="117">
        <f t="shared" si="6"/>
        <v>12034320.992500003</v>
      </c>
      <c r="AG15" s="117">
        <f t="shared" si="6"/>
        <v>13273444.931750003</v>
      </c>
      <c r="AH15" s="117">
        <f t="shared" si="6"/>
        <v>14639336.612125002</v>
      </c>
      <c r="AI15" s="117">
        <f>+AI12-AI14</f>
        <v>15843788.310835803</v>
      </c>
      <c r="AJ15" s="117">
        <f>+AJ12-AJ14</f>
        <v>17146727.65070688</v>
      </c>
      <c r="AK15" s="117">
        <f>+AK12-AK14</f>
        <v>18556170.059367914</v>
      </c>
      <c r="AL15" s="117">
        <f>+AL12-AL14</f>
        <v>20080780.929304514</v>
      </c>
      <c r="AM15" s="179">
        <f>+AM12-AM14</f>
        <v>21729928.17380802</v>
      </c>
    </row>
    <row r="16" spans="1:40" ht="15" customHeight="1" thickBot="1" x14ac:dyDescent="0.35">
      <c r="A16" s="595"/>
      <c r="B16" s="181"/>
      <c r="C16" s="590"/>
      <c r="D16" s="511"/>
      <c r="E16" s="477"/>
      <c r="F16" s="477"/>
      <c r="G16" s="477"/>
      <c r="H16" s="477"/>
      <c r="I16" s="477"/>
      <c r="J16" s="477"/>
      <c r="K16" s="477"/>
      <c r="L16" s="477"/>
      <c r="M16" s="477"/>
      <c r="N16" s="477"/>
      <c r="O16" s="477"/>
      <c r="P16" s="518"/>
      <c r="Q16" s="511"/>
      <c r="R16" s="477"/>
      <c r="S16" s="477"/>
      <c r="T16" s="477"/>
      <c r="U16" s="477"/>
      <c r="V16" s="477"/>
      <c r="W16" s="477"/>
      <c r="X16" s="477"/>
      <c r="Y16" s="477"/>
      <c r="Z16" s="477"/>
      <c r="AA16" s="477"/>
      <c r="AB16" s="477"/>
      <c r="AC16" s="518"/>
      <c r="AD16" s="360"/>
      <c r="AE16" s="121"/>
      <c r="AF16" s="477"/>
      <c r="AG16" s="477"/>
      <c r="AH16" s="477"/>
      <c r="AI16" s="477"/>
      <c r="AJ16" s="477"/>
      <c r="AK16" s="477"/>
      <c r="AL16" s="477"/>
      <c r="AM16" s="518"/>
    </row>
    <row r="17" spans="1:39" ht="15" customHeight="1" x14ac:dyDescent="0.3">
      <c r="A17" s="351"/>
      <c r="B17" s="591" t="s">
        <v>19</v>
      </c>
      <c r="C17" s="592"/>
      <c r="D17" s="337">
        <f>+'11 Gastos de Operación'!D24</f>
        <v>0</v>
      </c>
      <c r="E17" s="129">
        <f>+'11 Gastos de Operación'!E24</f>
        <v>0</v>
      </c>
      <c r="F17" s="129">
        <f>+'11 Gastos de Operación'!F24</f>
        <v>20763</v>
      </c>
      <c r="G17" s="129">
        <f>+'11 Gastos de Operación'!G24</f>
        <v>40703</v>
      </c>
      <c r="H17" s="129">
        <f>+'11 Gastos de Operación'!H24</f>
        <v>60440</v>
      </c>
      <c r="I17" s="129">
        <f>+'11 Gastos de Operación'!I24</f>
        <v>39430</v>
      </c>
      <c r="J17" s="129">
        <f>+'11 Gastos de Operación'!J24</f>
        <v>51355</v>
      </c>
      <c r="K17" s="129">
        <f>+'11 Gastos de Operación'!K24</f>
        <v>45760</v>
      </c>
      <c r="L17" s="129">
        <f>+'11 Gastos de Operación'!L24</f>
        <v>44635</v>
      </c>
      <c r="M17" s="129">
        <f>+'11 Gastos de Operación'!M24</f>
        <v>52940</v>
      </c>
      <c r="N17" s="129">
        <f>+'11 Gastos de Operación'!N24</f>
        <v>39715</v>
      </c>
      <c r="O17" s="129">
        <f>+'11 Gastos de Operación'!O24</f>
        <v>39860</v>
      </c>
      <c r="P17" s="353">
        <f>+'11 Gastos de Operación'!P24</f>
        <v>435601</v>
      </c>
      <c r="Q17" s="337">
        <f>+'11 Gastos de Operación'!Q24</f>
        <v>58112.26666666667</v>
      </c>
      <c r="R17" s="129">
        <f>+'11 Gastos de Operación'!R24</f>
        <v>48447.066666666673</v>
      </c>
      <c r="S17" s="129">
        <f>+'11 Gastos de Operación'!S24</f>
        <v>51277.666666666664</v>
      </c>
      <c r="T17" s="129">
        <f>+'11 Gastos de Operación'!T24</f>
        <v>68012.066666666666</v>
      </c>
      <c r="U17" s="129">
        <f>+'11 Gastos de Operación'!U24</f>
        <v>71633.066666666666</v>
      </c>
      <c r="V17" s="129">
        <f>+'11 Gastos de Operación'!V24</f>
        <v>55431.466666666667</v>
      </c>
      <c r="W17" s="129">
        <f>+'11 Gastos de Operación'!W24</f>
        <v>68124.46666666666</v>
      </c>
      <c r="X17" s="129">
        <f>+'11 Gastos de Operación'!X24</f>
        <v>62246.26666666667</v>
      </c>
      <c r="Y17" s="129">
        <f>+'11 Gastos de Operación'!Y24</f>
        <v>61001.26666666667</v>
      </c>
      <c r="Z17" s="129">
        <f>+'11 Gastos de Operación'!Z24</f>
        <v>69407.066666666666</v>
      </c>
      <c r="AA17" s="129">
        <f>+'11 Gastos de Operación'!AA24</f>
        <v>55366.066666666673</v>
      </c>
      <c r="AB17" s="129">
        <f>+'11 Gastos de Operación'!AB24</f>
        <v>55362.26666666667</v>
      </c>
      <c r="AC17" s="353">
        <f>+'11 Gastos de Operación'!AC24</f>
        <v>724421</v>
      </c>
      <c r="AD17" s="337">
        <f>+'11 Gastos de Operación'!AD24</f>
        <v>435601</v>
      </c>
      <c r="AE17" s="129">
        <f>+'11 Gastos de Operación'!AE24</f>
        <v>724421</v>
      </c>
      <c r="AF17" s="129">
        <f>+'11 Gastos de Operación'!AF24</f>
        <v>784166.26</v>
      </c>
      <c r="AG17" s="129">
        <f>+'11 Gastos de Operación'!AG24</f>
        <v>807216.23560000001</v>
      </c>
      <c r="AH17" s="129">
        <f>+'11 Gastos de Operación'!AH24</f>
        <v>875649.20973600005</v>
      </c>
      <c r="AI17" s="129">
        <f>+'11 Gastos de Operación'!AI24</f>
        <v>770368.37180332805</v>
      </c>
      <c r="AJ17" s="129">
        <f>+'11 Gastos de Operación'!AJ24</f>
        <v>784082.05364988791</v>
      </c>
      <c r="AK17" s="129">
        <f>+'11 Gastos de Operación'!AK24</f>
        <v>831837.99222508259</v>
      </c>
      <c r="AL17" s="129">
        <f>+'11 Gastos de Operación'!AL24</f>
        <v>855686.21585188643</v>
      </c>
      <c r="AM17" s="353">
        <f>+'11 Gastos de Operación'!AM24</f>
        <v>846679.15421277704</v>
      </c>
    </row>
    <row r="18" spans="1:39" ht="15" customHeight="1" thickBot="1" x14ac:dyDescent="0.35">
      <c r="A18" s="593" t="s">
        <v>20</v>
      </c>
      <c r="B18" s="594"/>
      <c r="C18" s="272"/>
      <c r="D18" s="284">
        <f t="shared" ref="D18:P18" si="7">+D15-D17</f>
        <v>0</v>
      </c>
      <c r="E18" s="117">
        <f t="shared" si="7"/>
        <v>0</v>
      </c>
      <c r="F18" s="117">
        <f t="shared" si="7"/>
        <v>-20763</v>
      </c>
      <c r="G18" s="117">
        <f t="shared" si="7"/>
        <v>-40703</v>
      </c>
      <c r="H18" s="117">
        <f t="shared" si="7"/>
        <v>-187940</v>
      </c>
      <c r="I18" s="117">
        <f t="shared" si="7"/>
        <v>583910</v>
      </c>
      <c r="J18" s="117">
        <f t="shared" si="7"/>
        <v>500029.5</v>
      </c>
      <c r="K18" s="117">
        <f t="shared" si="7"/>
        <v>408641</v>
      </c>
      <c r="L18" s="117">
        <f t="shared" si="7"/>
        <v>484850</v>
      </c>
      <c r="M18" s="117">
        <f t="shared" si="7"/>
        <v>983362</v>
      </c>
      <c r="N18" s="117">
        <f t="shared" si="7"/>
        <v>1240610</v>
      </c>
      <c r="O18" s="117">
        <f t="shared" si="7"/>
        <v>1578343</v>
      </c>
      <c r="P18" s="179">
        <f t="shared" si="7"/>
        <v>5530339.5</v>
      </c>
      <c r="Q18" s="284">
        <f t="shared" ref="Q18:AB18" si="8">+Q15-Q17</f>
        <v>444278.83333333331</v>
      </c>
      <c r="R18" s="117">
        <f t="shared" si="8"/>
        <v>777430.93333333335</v>
      </c>
      <c r="S18" s="117">
        <f t="shared" si="8"/>
        <v>824499.90833333333</v>
      </c>
      <c r="T18" s="117">
        <f t="shared" si="8"/>
        <v>775072.68333333323</v>
      </c>
      <c r="U18" s="117">
        <f t="shared" si="8"/>
        <v>1070849.1333333333</v>
      </c>
      <c r="V18" s="117">
        <f t="shared" si="8"/>
        <v>632792.53333333333</v>
      </c>
      <c r="W18" s="117">
        <f t="shared" si="8"/>
        <v>540948.48333333328</v>
      </c>
      <c r="X18" s="117">
        <f t="shared" si="8"/>
        <v>440144.83333333331</v>
      </c>
      <c r="Y18" s="117">
        <f t="shared" si="8"/>
        <v>523982.23333333334</v>
      </c>
      <c r="Z18" s="117">
        <f t="shared" si="8"/>
        <v>1073075.1333333333</v>
      </c>
      <c r="AA18" s="117">
        <f t="shared" si="8"/>
        <v>1355541.4333333333</v>
      </c>
      <c r="AB18" s="117">
        <f t="shared" si="8"/>
        <v>1727211.033333333</v>
      </c>
      <c r="AC18" s="179">
        <f t="shared" ref="AC18:AH18" si="9">+AC15-AC17</f>
        <v>10185827.175000001</v>
      </c>
      <c r="AD18" s="284">
        <f t="shared" si="9"/>
        <v>5530339.5</v>
      </c>
      <c r="AE18" s="117">
        <f t="shared" si="9"/>
        <v>10185827.174999999</v>
      </c>
      <c r="AF18" s="117">
        <f t="shared" si="9"/>
        <v>11250154.732500004</v>
      </c>
      <c r="AG18" s="117">
        <f t="shared" si="9"/>
        <v>12466228.696150003</v>
      </c>
      <c r="AH18" s="117">
        <f t="shared" si="9"/>
        <v>13763687.402389001</v>
      </c>
      <c r="AI18" s="117">
        <f>+AI15-AI17</f>
        <v>15073419.939032475</v>
      </c>
      <c r="AJ18" s="117">
        <f>+AJ15-AJ17</f>
        <v>16362645.597056992</v>
      </c>
      <c r="AK18" s="117">
        <f>+AK15-AK17</f>
        <v>17724332.067142829</v>
      </c>
      <c r="AL18" s="117">
        <f>+AL15-AL17</f>
        <v>19225094.713452626</v>
      </c>
      <c r="AM18" s="179">
        <f>+AM15-AM17</f>
        <v>20883249.019595243</v>
      </c>
    </row>
    <row r="19" spans="1:39" ht="15" customHeight="1" thickBot="1" x14ac:dyDescent="0.35">
      <c r="A19" s="595"/>
      <c r="B19" s="181"/>
      <c r="C19" s="590"/>
      <c r="D19" s="511"/>
      <c r="E19" s="477"/>
      <c r="F19" s="477"/>
      <c r="G19" s="477"/>
      <c r="H19" s="477"/>
      <c r="I19" s="477"/>
      <c r="J19" s="477"/>
      <c r="K19" s="477"/>
      <c r="L19" s="477"/>
      <c r="M19" s="477"/>
      <c r="N19" s="477"/>
      <c r="O19" s="477"/>
      <c r="P19" s="518"/>
      <c r="Q19" s="511"/>
      <c r="R19" s="477"/>
      <c r="S19" s="477"/>
      <c r="T19" s="477"/>
      <c r="U19" s="477"/>
      <c r="V19" s="477"/>
      <c r="W19" s="477"/>
      <c r="X19" s="477"/>
      <c r="Y19" s="477"/>
      <c r="Z19" s="477"/>
      <c r="AA19" s="477"/>
      <c r="AB19" s="477"/>
      <c r="AC19" s="518"/>
      <c r="AD19" s="511"/>
      <c r="AE19" s="477"/>
      <c r="AF19" s="477"/>
      <c r="AG19" s="477"/>
      <c r="AH19" s="477"/>
      <c r="AI19" s="477"/>
      <c r="AJ19" s="477"/>
      <c r="AK19" s="477"/>
      <c r="AL19" s="477"/>
      <c r="AM19" s="518"/>
    </row>
    <row r="20" spans="1:39" ht="15" customHeight="1" x14ac:dyDescent="0.3">
      <c r="A20" s="351"/>
      <c r="B20" s="591" t="s">
        <v>15</v>
      </c>
      <c r="C20" s="592"/>
      <c r="D20" s="337">
        <f>+'10 Gastos  Admon y Ventas'!E41</f>
        <v>0</v>
      </c>
      <c r="E20" s="129">
        <f>+'10 Gastos  Admon y Ventas'!F41</f>
        <v>0</v>
      </c>
      <c r="F20" s="129">
        <f>+'10 Gastos  Admon y Ventas'!G41</f>
        <v>222886</v>
      </c>
      <c r="G20" s="129">
        <f>+'10 Gastos  Admon y Ventas'!H41</f>
        <v>183971</v>
      </c>
      <c r="H20" s="129">
        <f>+'10 Gastos  Admon y Ventas'!I41</f>
        <v>209415</v>
      </c>
      <c r="I20" s="129">
        <f>+'10 Gastos  Admon y Ventas'!J41</f>
        <v>220047</v>
      </c>
      <c r="J20" s="129">
        <f>+'10 Gastos  Admon y Ventas'!K41</f>
        <v>215174.35</v>
      </c>
      <c r="K20" s="129">
        <f>+'10 Gastos  Admon y Ventas'!L41</f>
        <v>197483.3</v>
      </c>
      <c r="L20" s="129">
        <f>+'10 Gastos  Admon y Ventas'!M41</f>
        <v>212333.5</v>
      </c>
      <c r="M20" s="129">
        <f>+'10 Gastos  Admon y Ventas'!N41</f>
        <v>228141.6</v>
      </c>
      <c r="N20" s="129">
        <f>+'10 Gastos  Admon y Ventas'!O41</f>
        <v>199700.5</v>
      </c>
      <c r="O20" s="129">
        <f>+'10 Gastos  Admon y Ventas'!P41</f>
        <v>227184.9</v>
      </c>
      <c r="P20" s="353">
        <f>+'10 Gastos  Admon y Ventas'!Q41</f>
        <v>2116337.15</v>
      </c>
      <c r="Q20" s="337">
        <f>+'10 Gastos  Admon y Ventas'!R41</f>
        <v>197407.19666666666</v>
      </c>
      <c r="R20" s="129">
        <f>+'10 Gastos  Admon y Ventas'!S41</f>
        <v>201631.16666666669</v>
      </c>
      <c r="S20" s="129">
        <f>+'10 Gastos  Admon y Ventas'!T41</f>
        <v>268962.89916666667</v>
      </c>
      <c r="T20" s="129">
        <f>+'10 Gastos  Admon y Ventas'!U41</f>
        <v>207216.05166666667</v>
      </c>
      <c r="U20" s="129">
        <f>+'10 Gastos  Admon y Ventas'!V41</f>
        <v>237390.02666666667</v>
      </c>
      <c r="V20" s="129">
        <f>+'10 Gastos  Admon y Ventas'!W41</f>
        <v>208370.56666666668</v>
      </c>
      <c r="W20" s="129">
        <f>+'10 Gastos  Admon y Ventas'!X41</f>
        <v>213781.13166666665</v>
      </c>
      <c r="X20" s="129">
        <f>+'10 Gastos  Admon y Ventas'!Y41</f>
        <v>210895.69666666666</v>
      </c>
      <c r="Y20" s="129">
        <f>+'10 Gastos  Admon y Ventas'!Z41</f>
        <v>226662.39666666667</v>
      </c>
      <c r="Z20" s="129">
        <f>+'10 Gastos  Admon y Ventas'!AA41</f>
        <v>243591.02666666667</v>
      </c>
      <c r="AA20" s="129">
        <f>+'10 Gastos  Admon y Ventas'!AB41</f>
        <v>213526.29666666666</v>
      </c>
      <c r="AB20" s="129">
        <f>+'10 Gastos  Admon y Ventas'!AC41</f>
        <v>242774.45666666667</v>
      </c>
      <c r="AC20" s="353">
        <f>+'10 Gastos  Admon y Ventas'!AD41</f>
        <v>2672208.9125000001</v>
      </c>
      <c r="AD20" s="337">
        <f>+'10 Gastos  Admon y Ventas'!AE41</f>
        <v>2116337.15</v>
      </c>
      <c r="AE20" s="129">
        <f>+'10 Gastos  Admon y Ventas'!AF41</f>
        <v>2672208.9125000001</v>
      </c>
      <c r="AF20" s="129">
        <f>+'10 Gastos  Admon y Ventas'!AG41</f>
        <v>2806888.7272500005</v>
      </c>
      <c r="AG20" s="129">
        <f>+'10 Gastos  Admon y Ventas'!AH41</f>
        <v>3022360.9468850004</v>
      </c>
      <c r="AH20" s="129">
        <f>+'10 Gastos  Admon y Ventas'!AI41</f>
        <v>3213135.4849781003</v>
      </c>
      <c r="AI20" s="129">
        <f>+'10 Gastos  Admon y Ventas'!AJ41</f>
        <v>3271407.5765629695</v>
      </c>
      <c r="AJ20" s="129">
        <f>+'10 Gastos  Admon y Ventas'!AK41</f>
        <v>3471286.861299491</v>
      </c>
      <c r="AK20" s="129">
        <f>+'10 Gastos  Admon y Ventas'!AL41</f>
        <v>3620425.1489553014</v>
      </c>
      <c r="AL20" s="129">
        <f>+'10 Gastos  Admon y Ventas'!AM41</f>
        <v>3703701.4826946505</v>
      </c>
      <c r="AM20" s="353">
        <f>+'10 Gastos  Admon y Ventas'!AN41</f>
        <v>3935223.8012592169</v>
      </c>
    </row>
    <row r="21" spans="1:39" ht="15" customHeight="1" x14ac:dyDescent="0.3">
      <c r="A21" s="355"/>
      <c r="B21" s="596" t="s">
        <v>286</v>
      </c>
      <c r="C21" s="271"/>
      <c r="D21" s="149">
        <f>+'15 Crédito Refaccionario'!B9+'16 Crédito de Avio'!B9</f>
        <v>0</v>
      </c>
      <c r="E21" s="97">
        <f>+'15 Crédito Refaccionario'!C9+'16 Crédito de Avio'!C9</f>
        <v>0</v>
      </c>
      <c r="F21" s="97">
        <f>+'15 Crédito Refaccionario'!D9+'16 Crédito de Avio'!D9</f>
        <v>0</v>
      </c>
      <c r="G21" s="97">
        <f>+'15 Crédito Refaccionario'!E9+'16 Crédito de Avio'!E9</f>
        <v>1000</v>
      </c>
      <c r="H21" s="97">
        <f>+'15 Crédito Refaccionario'!F9+'16 Crédito de Avio'!F9</f>
        <v>1000</v>
      </c>
      <c r="I21" s="97">
        <f>+'15 Crédito Refaccionario'!G9+'16 Crédito de Avio'!G9</f>
        <v>1500</v>
      </c>
      <c r="J21" s="97">
        <f>+'15 Crédito Refaccionario'!H9+'16 Crédito de Avio'!H9</f>
        <v>1500</v>
      </c>
      <c r="K21" s="97">
        <f>+'15 Crédito Refaccionario'!I9+'16 Crédito de Avio'!I9</f>
        <v>1500</v>
      </c>
      <c r="L21" s="97">
        <f>+'15 Crédito Refaccionario'!J9+'16 Crédito de Avio'!J9</f>
        <v>1500</v>
      </c>
      <c r="M21" s="97">
        <f>+'15 Crédito Refaccionario'!K9+'16 Crédito de Avio'!K9</f>
        <v>1484.8484848484848</v>
      </c>
      <c r="N21" s="97">
        <f>+'15 Crédito Refaccionario'!L9+'16 Crédito de Avio'!L9</f>
        <v>1451.1784511784513</v>
      </c>
      <c r="O21" s="97">
        <f>+'15 Crédito Refaccionario'!M9+'16 Crédito de Avio'!M9</f>
        <v>1417.5084175084176</v>
      </c>
      <c r="P21" s="98">
        <f>+'15 Crédito Refaccionario'!N9+'16 Crédito de Avio'!N9</f>
        <v>12353.535353535355</v>
      </c>
      <c r="Q21" s="149">
        <f>+'15 Crédito Refaccionario'!O9+'16 Crédito de Avio'!O9</f>
        <v>1383.8383838383838</v>
      </c>
      <c r="R21" s="97">
        <f>+'15 Crédito Refaccionario'!P9+'16 Crédito de Avio'!P9</f>
        <v>1350.1683501683501</v>
      </c>
      <c r="S21" s="97">
        <f>+'15 Crédito Refaccionario'!Q9+'16 Crédito de Avio'!Q9</f>
        <v>1316.4983164983164</v>
      </c>
      <c r="T21" s="97">
        <f>+'15 Crédito Refaccionario'!R9+'16 Crédito de Avio'!R9</f>
        <v>1282.8282828282829</v>
      </c>
      <c r="U21" s="97">
        <f>+'15 Crédito Refaccionario'!S9+'16 Crédito de Avio'!S9</f>
        <v>1249.158249158249</v>
      </c>
      <c r="V21" s="97">
        <f>+'15 Crédito Refaccionario'!T9+'16 Crédito de Avio'!T9</f>
        <v>1215.4882154882155</v>
      </c>
      <c r="W21" s="97">
        <f>+'15 Crédito Refaccionario'!U9+'16 Crédito de Avio'!U9</f>
        <v>1181.818181818182</v>
      </c>
      <c r="X21" s="97">
        <f>+'15 Crédito Refaccionario'!V9+'16 Crédito de Avio'!V9</f>
        <v>1148.1481481481483</v>
      </c>
      <c r="Y21" s="97">
        <f>+'15 Crédito Refaccionario'!W9+'16 Crédito de Avio'!W9</f>
        <v>1114.4781144781145</v>
      </c>
      <c r="Z21" s="97">
        <f>+'15 Crédito Refaccionario'!X9+'16 Crédito de Avio'!X9</f>
        <v>1080.8080808080808</v>
      </c>
      <c r="AA21" s="97">
        <f>+'15 Crédito Refaccionario'!Y9+'16 Crédito de Avio'!Y9</f>
        <v>1047.1380471380471</v>
      </c>
      <c r="AB21" s="97">
        <f>+'15 Crédito Refaccionario'!Z9+'16 Crédito de Avio'!Z9</f>
        <v>1013.4680134680134</v>
      </c>
      <c r="AC21" s="98">
        <f>+'15 Crédito Refaccionario'!AA9+'16 Crédito de Avio'!AA9</f>
        <v>14383.838383838385</v>
      </c>
      <c r="AD21" s="149">
        <f>+'15 Crédito Refaccionario'!AB9+'16 Crédito de Avio'!AB9</f>
        <v>12353.535353535355</v>
      </c>
      <c r="AE21" s="97">
        <f>+'15 Crédito Refaccionario'!AC9+'16 Crédito de Avio'!AC9</f>
        <v>14383.838383838385</v>
      </c>
      <c r="AF21" s="97">
        <f>+'15 Crédito Refaccionario'!AD9+'16 Crédito de Avio'!AD9</f>
        <v>9535.3535353535335</v>
      </c>
      <c r="AG21" s="97">
        <f>+'15 Crédito Refaccionario'!AE9+'16 Crédito de Avio'!AE9</f>
        <v>5005.0505050504962</v>
      </c>
      <c r="AH21" s="97">
        <f>+'15 Crédito Refaccionario'!AF9+'16 Crédito de Avio'!AF9</f>
        <v>2111.1111111111031</v>
      </c>
      <c r="AI21" s="97">
        <f>+'15 Crédito Refaccionario'!AG9+'16 Crédito de Avio'!AG9</f>
        <v>111.11111111110911</v>
      </c>
      <c r="AJ21" s="97">
        <f>+'15 Crédito Refaccionario'!AH9+'16 Crédito de Avio'!AH9</f>
        <v>0</v>
      </c>
      <c r="AK21" s="97">
        <f>+'15 Crédito Refaccionario'!AI9+'16 Crédito de Avio'!AI9</f>
        <v>0</v>
      </c>
      <c r="AL21" s="97">
        <f>+'15 Crédito Refaccionario'!AJ9+'16 Crédito de Avio'!AJ9</f>
        <v>0</v>
      </c>
      <c r="AM21" s="97">
        <f>+'15 Crédito Refaccionario'!AK9+'16 Crédito de Avio'!AK9</f>
        <v>0</v>
      </c>
    </row>
    <row r="22" spans="1:39" ht="15" customHeight="1" thickBot="1" x14ac:dyDescent="0.35">
      <c r="A22" s="593" t="s">
        <v>21</v>
      </c>
      <c r="B22" s="594"/>
      <c r="C22" s="272"/>
      <c r="D22" s="117">
        <f>+D18-D20-D21</f>
        <v>0</v>
      </c>
      <c r="E22" s="117">
        <f t="shared" ref="E22:O22" si="10">+E18-E20-E21</f>
        <v>0</v>
      </c>
      <c r="F22" s="117">
        <f t="shared" si="10"/>
        <v>-243649</v>
      </c>
      <c r="G22" s="117">
        <f t="shared" si="10"/>
        <v>-225674</v>
      </c>
      <c r="H22" s="117">
        <f t="shared" si="10"/>
        <v>-398355</v>
      </c>
      <c r="I22" s="117">
        <f t="shared" si="10"/>
        <v>362363</v>
      </c>
      <c r="J22" s="117">
        <f t="shared" si="10"/>
        <v>283355.15000000002</v>
      </c>
      <c r="K22" s="117">
        <f t="shared" si="10"/>
        <v>209657.7</v>
      </c>
      <c r="L22" s="117">
        <f t="shared" si="10"/>
        <v>271016.5</v>
      </c>
      <c r="M22" s="117">
        <f t="shared" si="10"/>
        <v>753735.55151515151</v>
      </c>
      <c r="N22" s="117">
        <f t="shared" si="10"/>
        <v>1039458.3215488215</v>
      </c>
      <c r="O22" s="117">
        <f t="shared" si="10"/>
        <v>1349740.5915824918</v>
      </c>
      <c r="P22" s="179">
        <f t="shared" ref="P22:AD22" si="11">+P18-P20-P21</f>
        <v>3401648.8146464648</v>
      </c>
      <c r="Q22" s="117">
        <f t="shared" si="11"/>
        <v>245487.79828282827</v>
      </c>
      <c r="R22" s="117">
        <f t="shared" si="11"/>
        <v>574449.59831649822</v>
      </c>
      <c r="S22" s="117">
        <f t="shared" si="11"/>
        <v>554220.5108501683</v>
      </c>
      <c r="T22" s="117">
        <f t="shared" si="11"/>
        <v>566573.80338383827</v>
      </c>
      <c r="U22" s="117">
        <f t="shared" si="11"/>
        <v>832209.94841750839</v>
      </c>
      <c r="V22" s="117">
        <f t="shared" si="11"/>
        <v>423206.47845117847</v>
      </c>
      <c r="W22" s="117">
        <f t="shared" si="11"/>
        <v>325985.53348484845</v>
      </c>
      <c r="X22" s="117">
        <f t="shared" si="11"/>
        <v>228100.98851851851</v>
      </c>
      <c r="Y22" s="117">
        <f t="shared" si="11"/>
        <v>296205.35855218855</v>
      </c>
      <c r="Z22" s="117">
        <f t="shared" si="11"/>
        <v>828403.29858585866</v>
      </c>
      <c r="AA22" s="117">
        <f t="shared" si="11"/>
        <v>1140967.9986195287</v>
      </c>
      <c r="AB22" s="117">
        <f t="shared" si="11"/>
        <v>1483423.1086531982</v>
      </c>
      <c r="AC22" s="179">
        <f t="shared" si="11"/>
        <v>7499234.4241161626</v>
      </c>
      <c r="AD22" s="179">
        <f t="shared" si="11"/>
        <v>3401648.8146464648</v>
      </c>
      <c r="AE22" s="117">
        <f t="shared" ref="AE22:AM22" si="12">+AE18-AE20-AE21</f>
        <v>7499234.4241161607</v>
      </c>
      <c r="AF22" s="117">
        <f t="shared" si="12"/>
        <v>8433730.6517146491</v>
      </c>
      <c r="AG22" s="117">
        <f t="shared" si="12"/>
        <v>9438862.6987599507</v>
      </c>
      <c r="AH22" s="117">
        <f t="shared" si="12"/>
        <v>10548440.806299789</v>
      </c>
      <c r="AI22" s="117">
        <f t="shared" si="12"/>
        <v>11801901.251358394</v>
      </c>
      <c r="AJ22" s="117">
        <f t="shared" si="12"/>
        <v>12891358.735757502</v>
      </c>
      <c r="AK22" s="117">
        <f t="shared" si="12"/>
        <v>14103906.918187529</v>
      </c>
      <c r="AL22" s="117">
        <f t="shared" si="12"/>
        <v>15521393.230757976</v>
      </c>
      <c r="AM22" s="179">
        <f t="shared" si="12"/>
        <v>16948025.218336027</v>
      </c>
    </row>
    <row r="23" spans="1:39" ht="15" customHeight="1" thickBot="1" x14ac:dyDescent="0.35">
      <c r="A23" s="595"/>
      <c r="B23" s="181"/>
      <c r="C23" s="590"/>
      <c r="D23" s="511"/>
      <c r="E23" s="477"/>
      <c r="F23" s="477"/>
      <c r="G23" s="477"/>
      <c r="H23" s="477"/>
      <c r="I23" s="477"/>
      <c r="J23" s="477"/>
      <c r="K23" s="477"/>
      <c r="L23" s="477"/>
      <c r="M23" s="477"/>
      <c r="N23" s="477"/>
      <c r="O23" s="477"/>
      <c r="P23" s="518"/>
      <c r="Q23" s="511"/>
      <c r="R23" s="477"/>
      <c r="S23" s="477"/>
      <c r="T23" s="477"/>
      <c r="U23" s="477"/>
      <c r="V23" s="477"/>
      <c r="W23" s="477"/>
      <c r="X23" s="477"/>
      <c r="Y23" s="477"/>
      <c r="Z23" s="477"/>
      <c r="AA23" s="477"/>
      <c r="AB23" s="477"/>
      <c r="AC23" s="518"/>
      <c r="AD23" s="511"/>
      <c r="AE23" s="477"/>
      <c r="AF23" s="477"/>
      <c r="AG23" s="477"/>
      <c r="AH23" s="477"/>
      <c r="AI23" s="477"/>
      <c r="AJ23" s="477"/>
      <c r="AK23" s="477"/>
      <c r="AL23" s="477"/>
      <c r="AM23" s="518"/>
    </row>
    <row r="24" spans="1:39" x14ac:dyDescent="0.3">
      <c r="A24" s="351"/>
      <c r="B24" s="591" t="s">
        <v>53</v>
      </c>
      <c r="C24" s="88"/>
      <c r="D24" s="337">
        <f>IF(D22&lt;=0,0,+D42)</f>
        <v>0</v>
      </c>
      <c r="E24" s="131">
        <f t="shared" ref="E24:AB24" si="13">IF(E22&lt;=0,0,+E42)</f>
        <v>0</v>
      </c>
      <c r="F24" s="131">
        <f t="shared" si="13"/>
        <v>0</v>
      </c>
      <c r="G24" s="131">
        <f t="shared" si="13"/>
        <v>0</v>
      </c>
      <c r="H24" s="131">
        <f t="shared" si="13"/>
        <v>0</v>
      </c>
      <c r="I24" s="131">
        <f t="shared" si="13"/>
        <v>86615.411956262396</v>
      </c>
      <c r="J24" s="131">
        <f t="shared" si="13"/>
        <v>67730.212651894733</v>
      </c>
      <c r="K24" s="131">
        <f t="shared" si="13"/>
        <v>50114.355095035848</v>
      </c>
      <c r="L24" s="131">
        <f t="shared" si="13"/>
        <v>64780.912495051612</v>
      </c>
      <c r="M24" s="131">
        <f t="shared" si="13"/>
        <v>180164.95972426955</v>
      </c>
      <c r="N24" s="131">
        <f t="shared" si="13"/>
        <v>248461.10318193701</v>
      </c>
      <c r="O24" s="131">
        <f t="shared" si="13"/>
        <v>322627.68928948825</v>
      </c>
      <c r="P24" s="132">
        <f t="shared" si="13"/>
        <v>1020494.6443939394</v>
      </c>
      <c r="Q24" s="337">
        <f>IF(Q22&lt;=0,0,+Q42)</f>
        <v>73646.339484848519</v>
      </c>
      <c r="R24" s="131">
        <f t="shared" si="13"/>
        <v>172334.87949494956</v>
      </c>
      <c r="S24" s="131">
        <f t="shared" si="13"/>
        <v>166266.15325505057</v>
      </c>
      <c r="T24" s="131">
        <f t="shared" si="13"/>
        <v>169972.14101515154</v>
      </c>
      <c r="U24" s="131">
        <f t="shared" si="13"/>
        <v>249662.9845252526</v>
      </c>
      <c r="V24" s="131">
        <f t="shared" si="13"/>
        <v>126961.94353535358</v>
      </c>
      <c r="W24" s="131">
        <f t="shared" si="13"/>
        <v>97795.660045454584</v>
      </c>
      <c r="X24" s="131">
        <f t="shared" si="13"/>
        <v>68430.296555555586</v>
      </c>
      <c r="Y24" s="131">
        <f t="shared" si="13"/>
        <v>88861.607565656595</v>
      </c>
      <c r="Z24" s="131">
        <f t="shared" si="13"/>
        <v>248520.9895757577</v>
      </c>
      <c r="AA24" s="131">
        <f t="shared" si="13"/>
        <v>342290.39958585874</v>
      </c>
      <c r="AB24" s="131">
        <f t="shared" si="13"/>
        <v>445026.93259595963</v>
      </c>
      <c r="AC24" s="1166">
        <f>SUM(Q24:AB24)</f>
        <v>2249770.3272348493</v>
      </c>
      <c r="AD24" s="337">
        <f>IF(AD22&lt;0,0,IF('19 Resumen'!$D$7=2,'4 Estado de Resultados'!AD22*'19 Resumen'!$D$11,+AD36))</f>
        <v>1020494.6443939394</v>
      </c>
      <c r="AE24" s="131">
        <f>IF(AE22&lt;0,0,IF('19 Resumen'!$D$7=2,'4 Estado de Resultados'!AE22*'19 Resumen'!$D$11,+AE36))</f>
        <v>2249770.3272348479</v>
      </c>
      <c r="AF24" s="131">
        <f>IF(AF22&lt;0,0,IF('19 Resumen'!$D$7=2,'4 Estado de Resultados'!AF22*'19 Resumen'!$D$11,+AF36))</f>
        <v>2530119.1955143944</v>
      </c>
      <c r="AG24" s="131">
        <f>IF(AG22&lt;0,0,IF('19 Resumen'!$D$7=2,'4 Estado de Resultados'!AG22*'19 Resumen'!$D$11,+AG36))</f>
        <v>2831658.8096279851</v>
      </c>
      <c r="AH24" s="131">
        <f>IF(AH22&lt;0,0,IF('19 Resumen'!$D$7=2,'4 Estado de Resultados'!AH22*'19 Resumen'!$D$11,+AH36))</f>
        <v>3164532.2418899364</v>
      </c>
      <c r="AI24" s="131">
        <f>IF(AI22&lt;0,0,IF('19 Resumen'!$D$7=2,'4 Estado de Resultados'!AI22*'19 Resumen'!$D$11,+AI36))</f>
        <v>3540570.3754075179</v>
      </c>
      <c r="AJ24" s="131">
        <f>IF(AJ22&lt;0,0,IF('19 Resumen'!$D$7=2,'4 Estado de Resultados'!AJ22*'19 Resumen'!$D$11,+AJ36))</f>
        <v>3867407.6207272504</v>
      </c>
      <c r="AK24" s="131">
        <f>IF(AK22&lt;0,0,IF('19 Resumen'!$D$7=2,'4 Estado de Resultados'!AK22*'19 Resumen'!$D$11,+AK36))</f>
        <v>4231172.0754562588</v>
      </c>
      <c r="AL24" s="131">
        <f>IF(AL22&lt;0,0,IF('19 Resumen'!$D$7=2,'4 Estado de Resultados'!AL22*'19 Resumen'!$D$11,+AL36))</f>
        <v>4656417.9692273922</v>
      </c>
      <c r="AM24" s="132">
        <f>IF(AM22&lt;0,0,IF('19 Resumen'!$D$7=2,'4 Estado de Resultados'!AM22*'19 Resumen'!$D$11,+AM36))</f>
        <v>5084407.5655008079</v>
      </c>
    </row>
    <row r="25" spans="1:39" x14ac:dyDescent="0.3">
      <c r="A25" s="184"/>
      <c r="B25" s="597" t="s">
        <v>54</v>
      </c>
      <c r="C25" s="348"/>
      <c r="D25" s="149"/>
      <c r="E25" s="97"/>
      <c r="F25" s="97"/>
      <c r="G25" s="97"/>
      <c r="H25" s="97"/>
      <c r="I25" s="97"/>
      <c r="J25" s="97"/>
      <c r="K25" s="97"/>
      <c r="L25" s="97"/>
      <c r="M25" s="97"/>
      <c r="N25" s="97"/>
      <c r="O25" s="97">
        <f>+P25</f>
        <v>340164.88146464649</v>
      </c>
      <c r="P25" s="98">
        <f>IF(P22&lt;=0,0,+P22*0.1)</f>
        <v>340164.88146464649</v>
      </c>
      <c r="Q25" s="114"/>
      <c r="R25" s="97"/>
      <c r="S25" s="97"/>
      <c r="T25" s="97"/>
      <c r="U25" s="97"/>
      <c r="V25" s="97"/>
      <c r="W25" s="97"/>
      <c r="X25" s="97"/>
      <c r="Y25" s="97"/>
      <c r="Z25" s="97"/>
      <c r="AA25" s="97"/>
      <c r="AB25" s="97">
        <f>+AC25</f>
        <v>749923.44241161633</v>
      </c>
      <c r="AC25" s="998">
        <f>IF(AC22&lt;=0,0,+AC22*0.1)</f>
        <v>749923.44241161633</v>
      </c>
      <c r="AD25" s="149">
        <f>IF(AD22&lt;=0,0,+AD22*0.1)</f>
        <v>340164.88146464649</v>
      </c>
      <c r="AE25" s="97">
        <f>IF(AE22&lt;=0,0,+AE22*0.1)</f>
        <v>749923.4424116161</v>
      </c>
      <c r="AF25" s="97">
        <f>IF(AF22&lt;=0,0,+AF22*0.1)</f>
        <v>843373.06517146493</v>
      </c>
      <c r="AG25" s="97">
        <f t="shared" ref="AG25:AM25" si="14">IF(AG22&lt;=0,0,+AG22*0.1)</f>
        <v>943886.26987599512</v>
      </c>
      <c r="AH25" s="97">
        <f t="shared" si="14"/>
        <v>1054844.080629979</v>
      </c>
      <c r="AI25" s="97">
        <f t="shared" si="14"/>
        <v>1180190.1251358395</v>
      </c>
      <c r="AJ25" s="97">
        <f t="shared" si="14"/>
        <v>1289135.8735757503</v>
      </c>
      <c r="AK25" s="97">
        <f t="shared" si="14"/>
        <v>1410390.691818753</v>
      </c>
      <c r="AL25" s="97">
        <f t="shared" si="14"/>
        <v>1552139.3230757976</v>
      </c>
      <c r="AM25" s="98">
        <f t="shared" si="14"/>
        <v>1694802.5218336028</v>
      </c>
    </row>
    <row r="26" spans="1:39" ht="15.75" thickBot="1" x14ac:dyDescent="0.35">
      <c r="A26" s="598"/>
      <c r="B26" s="599" t="s">
        <v>547</v>
      </c>
      <c r="C26" s="600"/>
      <c r="D26" s="154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102">
        <f>+P26</f>
        <v>249631.76232728458</v>
      </c>
      <c r="P26" s="103">
        <f>+AD26</f>
        <v>249631.76232728458</v>
      </c>
      <c r="Q26" s="116"/>
      <c r="R26" s="102"/>
      <c r="S26" s="102"/>
      <c r="T26" s="102"/>
      <c r="U26" s="102"/>
      <c r="V26" s="102"/>
      <c r="W26" s="102"/>
      <c r="X26" s="102"/>
      <c r="Y26" s="102"/>
      <c r="Z26" s="102"/>
      <c r="AA26" s="102"/>
      <c r="AB26" s="102">
        <f>+AE26</f>
        <v>550335.20724922896</v>
      </c>
      <c r="AC26" s="1165">
        <f>+AE26</f>
        <v>550335.20724922896</v>
      </c>
      <c r="AD26" s="154">
        <f t="shared" ref="AD26:AM26" si="15">IF(AD22&gt;0,IF(AD8&gt;=$D$47,IF(AD8&gt;$D$48,0,AD22*$D$46),0),0)</f>
        <v>249631.76232728458</v>
      </c>
      <c r="AE26" s="102">
        <f>IF(AE22&gt;0,IF(AE8&gt;=$D$47,IF(AE8&gt;$D$48,0,AE22*$D$46),0),0)</f>
        <v>550335.20724922896</v>
      </c>
      <c r="AF26" s="102">
        <f t="shared" si="15"/>
        <v>618913.69753287535</v>
      </c>
      <c r="AG26" s="102">
        <f t="shared" si="15"/>
        <v>692675.83405772632</v>
      </c>
      <c r="AH26" s="102">
        <f t="shared" si="15"/>
        <v>774102.79889675556</v>
      </c>
      <c r="AI26" s="102">
        <f t="shared" si="15"/>
        <v>866088.64369068446</v>
      </c>
      <c r="AJ26" s="102">
        <f t="shared" si="15"/>
        <v>0</v>
      </c>
      <c r="AK26" s="102">
        <f t="shared" si="15"/>
        <v>0</v>
      </c>
      <c r="AL26" s="102">
        <f t="shared" si="15"/>
        <v>0</v>
      </c>
      <c r="AM26" s="102">
        <f t="shared" si="15"/>
        <v>0</v>
      </c>
    </row>
    <row r="27" spans="1:39" ht="15.75" thickBot="1" x14ac:dyDescent="0.35">
      <c r="A27" s="601"/>
      <c r="B27" s="147"/>
      <c r="C27" s="590"/>
      <c r="D27" s="360"/>
      <c r="E27" s="121"/>
      <c r="F27" s="121"/>
      <c r="G27" s="121"/>
      <c r="H27" s="121"/>
      <c r="I27" s="121"/>
      <c r="J27" s="121"/>
      <c r="K27" s="121"/>
      <c r="L27" s="121"/>
      <c r="M27" s="121"/>
      <c r="N27" s="121"/>
      <c r="O27" s="121"/>
      <c r="P27" s="128"/>
      <c r="Q27" s="360"/>
      <c r="R27" s="121"/>
      <c r="S27" s="121"/>
      <c r="T27" s="121"/>
      <c r="U27" s="121"/>
      <c r="V27" s="121"/>
      <c r="W27" s="121"/>
      <c r="X27" s="121"/>
      <c r="Y27" s="121"/>
      <c r="Z27" s="121"/>
      <c r="AA27" s="121"/>
      <c r="AB27" s="121"/>
      <c r="AC27" s="128"/>
      <c r="AD27" s="360"/>
      <c r="AE27" s="121"/>
      <c r="AF27" s="121"/>
      <c r="AG27" s="121"/>
      <c r="AH27" s="121"/>
      <c r="AI27" s="121"/>
      <c r="AJ27" s="121"/>
      <c r="AK27" s="121"/>
      <c r="AL27" s="121"/>
      <c r="AM27" s="128"/>
    </row>
    <row r="28" spans="1:39" ht="15.75" thickBot="1" x14ac:dyDescent="0.35">
      <c r="A28" s="602" t="s">
        <v>22</v>
      </c>
      <c r="B28" s="603"/>
      <c r="C28" s="604"/>
      <c r="D28" s="508">
        <f t="shared" ref="D28:AM28" si="16">+D22-D24-D25-D26</f>
        <v>0</v>
      </c>
      <c r="E28" s="605">
        <f t="shared" si="16"/>
        <v>0</v>
      </c>
      <c r="F28" s="605">
        <f t="shared" si="16"/>
        <v>-243649</v>
      </c>
      <c r="G28" s="605">
        <f t="shared" si="16"/>
        <v>-225674</v>
      </c>
      <c r="H28" s="605">
        <f t="shared" si="16"/>
        <v>-398355</v>
      </c>
      <c r="I28" s="605">
        <f t="shared" si="16"/>
        <v>275747.58804373757</v>
      </c>
      <c r="J28" s="605">
        <f t="shared" si="16"/>
        <v>215624.9373481053</v>
      </c>
      <c r="K28" s="605">
        <f t="shared" si="16"/>
        <v>159543.34490496415</v>
      </c>
      <c r="L28" s="605">
        <f t="shared" si="16"/>
        <v>206235.58750494837</v>
      </c>
      <c r="M28" s="605">
        <f t="shared" si="16"/>
        <v>573570.59179088194</v>
      </c>
      <c r="N28" s="605">
        <f t="shared" si="16"/>
        <v>790997.21836688451</v>
      </c>
      <c r="O28" s="605">
        <f t="shared" si="16"/>
        <v>437316.25850107241</v>
      </c>
      <c r="P28" s="488">
        <f>+P22-P41-P25-P26</f>
        <v>1791357.5264605943</v>
      </c>
      <c r="Q28" s="508">
        <f t="shared" si="16"/>
        <v>171841.45879797975</v>
      </c>
      <c r="R28" s="605">
        <f t="shared" si="16"/>
        <v>402114.71882154862</v>
      </c>
      <c r="S28" s="605">
        <f t="shared" si="16"/>
        <v>387954.35759511776</v>
      </c>
      <c r="T28" s="605">
        <f t="shared" si="16"/>
        <v>396601.66236868675</v>
      </c>
      <c r="U28" s="605">
        <f t="shared" si="16"/>
        <v>582546.96389225579</v>
      </c>
      <c r="V28" s="605">
        <f t="shared" si="16"/>
        <v>296244.53491582489</v>
      </c>
      <c r="W28" s="605">
        <f t="shared" si="16"/>
        <v>228189.87343939388</v>
      </c>
      <c r="X28" s="605">
        <f t="shared" si="16"/>
        <v>159670.69196296291</v>
      </c>
      <c r="Y28" s="605">
        <f t="shared" si="16"/>
        <v>207343.75098653196</v>
      </c>
      <c r="Z28" s="605">
        <f t="shared" si="16"/>
        <v>579882.30901010102</v>
      </c>
      <c r="AA28" s="605">
        <f t="shared" si="16"/>
        <v>798677.59903367003</v>
      </c>
      <c r="AB28" s="605">
        <f t="shared" si="16"/>
        <v>-261862.47360360669</v>
      </c>
      <c r="AC28" s="488">
        <f>+AC22-AC41-AC25-AC26</f>
        <v>3949205.447220468</v>
      </c>
      <c r="AD28" s="508">
        <f>+AD22-AD24-AD25-AD26</f>
        <v>1791357.5264605943</v>
      </c>
      <c r="AE28" s="605">
        <f t="shared" si="16"/>
        <v>3949205.447220468</v>
      </c>
      <c r="AF28" s="605">
        <f t="shared" si="16"/>
        <v>4441324.6934959143</v>
      </c>
      <c r="AG28" s="605">
        <f t="shared" si="16"/>
        <v>4970641.7851982443</v>
      </c>
      <c r="AH28" s="605">
        <f t="shared" si="16"/>
        <v>5554961.6848831177</v>
      </c>
      <c r="AI28" s="605">
        <f t="shared" si="16"/>
        <v>6215052.107124351</v>
      </c>
      <c r="AJ28" s="605">
        <f t="shared" si="16"/>
        <v>7734815.2414545007</v>
      </c>
      <c r="AK28" s="605">
        <f t="shared" si="16"/>
        <v>8462344.1509125177</v>
      </c>
      <c r="AL28" s="605">
        <f t="shared" si="16"/>
        <v>9312835.9384547863</v>
      </c>
      <c r="AM28" s="488">
        <f t="shared" si="16"/>
        <v>10168815.131001618</v>
      </c>
    </row>
    <row r="29" spans="1:39" x14ac:dyDescent="0.3">
      <c r="A29" s="89"/>
      <c r="B29" s="89"/>
      <c r="C29" s="89"/>
      <c r="D29" s="89"/>
      <c r="E29" s="89"/>
      <c r="F29" s="89"/>
      <c r="G29" s="89"/>
      <c r="H29" s="89"/>
      <c r="I29" s="89"/>
      <c r="J29" s="89"/>
      <c r="K29" s="89"/>
      <c r="L29" s="89"/>
      <c r="M29" s="89"/>
      <c r="N29" s="606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</row>
    <row r="30" spans="1:39" x14ac:dyDescent="0.3">
      <c r="A30" s="89"/>
      <c r="B30" s="89"/>
      <c r="C30" s="193"/>
      <c r="D30" s="89"/>
      <c r="E30" s="193"/>
      <c r="F30" s="89"/>
      <c r="G30" s="89"/>
      <c r="H30" s="89"/>
      <c r="I30" s="89"/>
      <c r="J30" s="89"/>
      <c r="K30" s="89"/>
      <c r="L30" s="89"/>
      <c r="M30" s="89"/>
      <c r="N30" s="89"/>
      <c r="O30" s="89"/>
      <c r="P30" s="89">
        <f>SUM(D24:O24)</f>
        <v>1020494.6443939394</v>
      </c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</row>
    <row r="31" spans="1:39" x14ac:dyDescent="0.3">
      <c r="A31" s="89"/>
      <c r="B31" s="89"/>
      <c r="C31" s="193"/>
      <c r="D31" s="89"/>
      <c r="E31" s="89"/>
      <c r="F31" s="89"/>
      <c r="G31" s="89"/>
      <c r="H31" s="89"/>
      <c r="I31" s="89"/>
      <c r="J31" s="89"/>
      <c r="K31" s="89"/>
      <c r="L31" s="89"/>
      <c r="M31" s="89"/>
      <c r="N31" s="89"/>
      <c r="O31" s="89"/>
      <c r="P31" s="89">
        <f>SUM(D25:O25)</f>
        <v>340164.88146464649</v>
      </c>
      <c r="Q31" s="89"/>
      <c r="R31" s="89"/>
      <c r="S31" s="89"/>
      <c r="T31" s="89"/>
      <c r="U31" s="89"/>
      <c r="V31" s="89"/>
      <c r="W31" s="89"/>
      <c r="X31" s="89"/>
      <c r="Y31" s="89"/>
      <c r="Z31" s="89"/>
      <c r="AA31" s="89"/>
      <c r="AB31" s="89"/>
      <c r="AC31" s="89"/>
      <c r="AD31" s="89"/>
      <c r="AE31" s="89"/>
      <c r="AF31" s="89"/>
      <c r="AG31" s="89"/>
      <c r="AH31" s="89"/>
      <c r="AI31" s="89"/>
      <c r="AJ31" s="89"/>
      <c r="AK31" s="89"/>
      <c r="AL31" s="89"/>
      <c r="AM31" s="89"/>
    </row>
    <row r="32" spans="1:39" x14ac:dyDescent="0.3">
      <c r="A32" s="89"/>
      <c r="B32" s="89"/>
      <c r="C32" s="193"/>
      <c r="D32" s="89"/>
      <c r="E32" s="89"/>
      <c r="F32" s="89"/>
      <c r="G32" s="89"/>
      <c r="H32" s="89"/>
      <c r="I32" s="89"/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  <c r="AD32" s="89"/>
      <c r="AE32" s="89"/>
      <c r="AF32" s="89"/>
      <c r="AG32" s="89"/>
      <c r="AH32" s="89"/>
      <c r="AI32" s="89"/>
      <c r="AJ32" s="89"/>
      <c r="AK32" s="89"/>
      <c r="AL32" s="89"/>
      <c r="AM32" s="89"/>
    </row>
    <row r="33" spans="1:39" x14ac:dyDescent="0.3">
      <c r="A33" s="89" t="s">
        <v>156</v>
      </c>
      <c r="B33" s="89"/>
      <c r="C33" s="193"/>
      <c r="D33" s="89">
        <f>+D22-D24-D25</f>
        <v>0</v>
      </c>
      <c r="E33" s="89">
        <f t="shared" ref="E33:AM33" si="17">+E22-E24-E25</f>
        <v>0</v>
      </c>
      <c r="F33" s="89">
        <f t="shared" si="17"/>
        <v>-243649</v>
      </c>
      <c r="G33" s="89">
        <f t="shared" si="17"/>
        <v>-225674</v>
      </c>
      <c r="H33" s="89">
        <f t="shared" si="17"/>
        <v>-398355</v>
      </c>
      <c r="I33" s="89">
        <f t="shared" si="17"/>
        <v>275747.58804373757</v>
      </c>
      <c r="J33" s="89">
        <f t="shared" si="17"/>
        <v>215624.9373481053</v>
      </c>
      <c r="K33" s="89">
        <f t="shared" si="17"/>
        <v>159543.34490496415</v>
      </c>
      <c r="L33" s="89">
        <f t="shared" si="17"/>
        <v>206235.58750494837</v>
      </c>
      <c r="M33" s="89">
        <f t="shared" si="17"/>
        <v>573570.59179088194</v>
      </c>
      <c r="N33" s="89">
        <f t="shared" si="17"/>
        <v>790997.21836688451</v>
      </c>
      <c r="O33" s="89">
        <f>+O22-O24-O25</f>
        <v>686948.02082835697</v>
      </c>
      <c r="P33" s="89">
        <f>+P22-P41-P25</f>
        <v>2040989.2887878788</v>
      </c>
      <c r="Q33" s="89">
        <f t="shared" si="17"/>
        <v>171841.45879797975</v>
      </c>
      <c r="R33" s="89">
        <f t="shared" si="17"/>
        <v>402114.71882154862</v>
      </c>
      <c r="S33" s="89">
        <f t="shared" si="17"/>
        <v>387954.35759511776</v>
      </c>
      <c r="T33" s="89">
        <f t="shared" si="17"/>
        <v>396601.66236868675</v>
      </c>
      <c r="U33" s="89">
        <f t="shared" si="17"/>
        <v>582546.96389225579</v>
      </c>
      <c r="V33" s="89">
        <f t="shared" si="17"/>
        <v>296244.53491582489</v>
      </c>
      <c r="W33" s="89">
        <f t="shared" si="17"/>
        <v>228189.87343939388</v>
      </c>
      <c r="X33" s="89">
        <f t="shared" si="17"/>
        <v>159670.69196296291</v>
      </c>
      <c r="Y33" s="89">
        <f t="shared" si="17"/>
        <v>207343.75098653196</v>
      </c>
      <c r="Z33" s="89">
        <f t="shared" si="17"/>
        <v>579882.30901010102</v>
      </c>
      <c r="AA33" s="89">
        <f t="shared" si="17"/>
        <v>798677.59903367003</v>
      </c>
      <c r="AB33" s="89">
        <f t="shared" si="17"/>
        <v>288472.73364562227</v>
      </c>
      <c r="AC33" s="89">
        <f>+AC22-AC41-AC25</f>
        <v>4499540.6544696968</v>
      </c>
      <c r="AD33" s="89">
        <f t="shared" si="17"/>
        <v>2040989.2887878788</v>
      </c>
      <c r="AE33" s="89">
        <f t="shared" si="17"/>
        <v>4499540.6544696968</v>
      </c>
      <c r="AF33" s="89">
        <f t="shared" si="17"/>
        <v>5060238.3910287898</v>
      </c>
      <c r="AG33" s="89">
        <f t="shared" si="17"/>
        <v>5663317.6192559702</v>
      </c>
      <c r="AH33" s="89">
        <f t="shared" si="17"/>
        <v>6329064.4837798728</v>
      </c>
      <c r="AI33" s="89">
        <f t="shared" si="17"/>
        <v>7081140.7508150358</v>
      </c>
      <c r="AJ33" s="89">
        <f t="shared" si="17"/>
        <v>7734815.2414545007</v>
      </c>
      <c r="AK33" s="89">
        <f t="shared" si="17"/>
        <v>8462344.1509125177</v>
      </c>
      <c r="AL33" s="89">
        <f t="shared" si="17"/>
        <v>9312835.9384547863</v>
      </c>
      <c r="AM33" s="89">
        <f t="shared" si="17"/>
        <v>10168815.131001618</v>
      </c>
    </row>
    <row r="34" spans="1:39" x14ac:dyDescent="0.3">
      <c r="A34" s="89" t="s">
        <v>107</v>
      </c>
      <c r="B34" s="89"/>
      <c r="C34" s="89"/>
      <c r="D34" s="606">
        <f t="shared" ref="D34:AC34" si="18">+D10</f>
        <v>0</v>
      </c>
      <c r="E34" s="606">
        <f t="shared" si="18"/>
        <v>0</v>
      </c>
      <c r="F34" s="606">
        <f t="shared" si="18"/>
        <v>0</v>
      </c>
      <c r="G34" s="606">
        <f t="shared" si="18"/>
        <v>0</v>
      </c>
      <c r="H34" s="606">
        <f t="shared" si="18"/>
        <v>0</v>
      </c>
      <c r="I34" s="606">
        <f t="shared" si="18"/>
        <v>1274400</v>
      </c>
      <c r="J34" s="606">
        <f t="shared" si="18"/>
        <v>1152270</v>
      </c>
      <c r="K34" s="606">
        <f t="shared" si="18"/>
        <v>987660</v>
      </c>
      <c r="L34" s="606">
        <f t="shared" si="18"/>
        <v>1115100</v>
      </c>
      <c r="M34" s="606">
        <f t="shared" si="18"/>
        <v>1975320</v>
      </c>
      <c r="N34" s="606">
        <f t="shared" si="18"/>
        <v>2389500</v>
      </c>
      <c r="O34" s="606">
        <f t="shared" si="18"/>
        <v>2962980</v>
      </c>
      <c r="P34" s="606">
        <f t="shared" si="18"/>
        <v>11857230</v>
      </c>
      <c r="Q34" s="606">
        <f t="shared" si="18"/>
        <v>1086426</v>
      </c>
      <c r="R34" s="606">
        <f t="shared" si="18"/>
        <v>1635480</v>
      </c>
      <c r="S34" s="606">
        <f t="shared" si="18"/>
        <v>1720174.5</v>
      </c>
      <c r="T34" s="606">
        <f t="shared" si="18"/>
        <v>1664685</v>
      </c>
      <c r="U34" s="606">
        <f t="shared" si="18"/>
        <v>2172852</v>
      </c>
      <c r="V34" s="606">
        <f t="shared" si="18"/>
        <v>1401840</v>
      </c>
      <c r="W34" s="606">
        <f t="shared" si="18"/>
        <v>1267497</v>
      </c>
      <c r="X34" s="606">
        <f t="shared" si="18"/>
        <v>1086426</v>
      </c>
      <c r="Y34" s="606">
        <f t="shared" si="18"/>
        <v>1226610</v>
      </c>
      <c r="Z34" s="606">
        <f t="shared" si="18"/>
        <v>2172852</v>
      </c>
      <c r="AA34" s="606">
        <f t="shared" si="18"/>
        <v>2628450</v>
      </c>
      <c r="AB34" s="606">
        <f t="shared" si="18"/>
        <v>3259278</v>
      </c>
      <c r="AC34" s="606">
        <f t="shared" si="18"/>
        <v>21322570.5</v>
      </c>
      <c r="AD34" s="606">
        <f t="shared" ref="AD34:AM34" si="19">+AD10</f>
        <v>11857230</v>
      </c>
      <c r="AE34" s="606">
        <f t="shared" si="19"/>
        <v>21322570.5</v>
      </c>
      <c r="AF34" s="606">
        <f t="shared" si="19"/>
        <v>23454827.550000004</v>
      </c>
      <c r="AG34" s="606">
        <f t="shared" si="19"/>
        <v>25800310.305000003</v>
      </c>
      <c r="AH34" s="606">
        <f t="shared" si="19"/>
        <v>28380341.335500006</v>
      </c>
      <c r="AI34" s="606">
        <f t="shared" si="19"/>
        <v>30650768.642340008</v>
      </c>
      <c r="AJ34" s="606">
        <f t="shared" si="19"/>
        <v>33102830.133727208</v>
      </c>
      <c r="AK34" s="606">
        <f t="shared" si="19"/>
        <v>35751056.544425391</v>
      </c>
      <c r="AL34" s="606">
        <f t="shared" si="19"/>
        <v>38611141.067979425</v>
      </c>
      <c r="AM34" s="606">
        <f t="shared" si="19"/>
        <v>41700032.353417777</v>
      </c>
    </row>
    <row r="35" spans="1:39" x14ac:dyDescent="0.3">
      <c r="A35" s="89" t="s">
        <v>223</v>
      </c>
      <c r="B35" s="89"/>
      <c r="C35" s="89"/>
      <c r="D35" s="606">
        <f t="shared" ref="D35:O35" si="20">+$P$35/12</f>
        <v>144072.00000000003</v>
      </c>
      <c r="E35" s="606">
        <f t="shared" si="20"/>
        <v>144072.00000000003</v>
      </c>
      <c r="F35" s="606">
        <f t="shared" si="20"/>
        <v>144072.00000000003</v>
      </c>
      <c r="G35" s="606">
        <f t="shared" si="20"/>
        <v>144072.00000000003</v>
      </c>
      <c r="H35" s="606">
        <f t="shared" si="20"/>
        <v>144072.00000000003</v>
      </c>
      <c r="I35" s="606">
        <f t="shared" si="20"/>
        <v>144072.00000000003</v>
      </c>
      <c r="J35" s="606">
        <f t="shared" si="20"/>
        <v>144072.00000000003</v>
      </c>
      <c r="K35" s="606">
        <f t="shared" si="20"/>
        <v>144072.00000000003</v>
      </c>
      <c r="L35" s="606">
        <f t="shared" si="20"/>
        <v>144072.00000000003</v>
      </c>
      <c r="M35" s="606">
        <f t="shared" si="20"/>
        <v>144072.00000000003</v>
      </c>
      <c r="N35" s="606">
        <f t="shared" si="20"/>
        <v>144072.00000000003</v>
      </c>
      <c r="O35" s="606">
        <f t="shared" si="20"/>
        <v>144072.00000000003</v>
      </c>
      <c r="P35" s="606">
        <f>+'19 Resumen'!D10</f>
        <v>1728864.0000000002</v>
      </c>
      <c r="Q35" s="606">
        <f>+P35</f>
        <v>1728864.0000000002</v>
      </c>
      <c r="R35" s="606">
        <f>+Q35</f>
        <v>1728864.0000000002</v>
      </c>
      <c r="S35" s="606">
        <f>+R35</f>
        <v>1728864.0000000002</v>
      </c>
      <c r="T35" s="606">
        <f>+S35</f>
        <v>1728864.0000000002</v>
      </c>
      <c r="U35" s="606">
        <f>+T35</f>
        <v>1728864.0000000002</v>
      </c>
      <c r="V35" s="606">
        <f t="shared" ref="V35:AM35" si="21">+U35</f>
        <v>1728864.0000000002</v>
      </c>
      <c r="W35" s="606">
        <f t="shared" si="21"/>
        <v>1728864.0000000002</v>
      </c>
      <c r="X35" s="606">
        <f t="shared" si="21"/>
        <v>1728864.0000000002</v>
      </c>
      <c r="Y35" s="606">
        <f t="shared" si="21"/>
        <v>1728864.0000000002</v>
      </c>
      <c r="Z35" s="606">
        <f t="shared" si="21"/>
        <v>1728864.0000000002</v>
      </c>
      <c r="AA35" s="606">
        <f t="shared" si="21"/>
        <v>1728864.0000000002</v>
      </c>
      <c r="AB35" s="606">
        <f t="shared" si="21"/>
        <v>1728864.0000000002</v>
      </c>
      <c r="AC35" s="606">
        <f t="shared" si="21"/>
        <v>1728864.0000000002</v>
      </c>
      <c r="AD35" s="606">
        <f t="shared" si="21"/>
        <v>1728864.0000000002</v>
      </c>
      <c r="AE35" s="606">
        <f t="shared" si="21"/>
        <v>1728864.0000000002</v>
      </c>
      <c r="AF35" s="606">
        <f t="shared" si="21"/>
        <v>1728864.0000000002</v>
      </c>
      <c r="AG35" s="606">
        <f t="shared" si="21"/>
        <v>1728864.0000000002</v>
      </c>
      <c r="AH35" s="606">
        <f t="shared" si="21"/>
        <v>1728864.0000000002</v>
      </c>
      <c r="AI35" s="606">
        <f t="shared" si="21"/>
        <v>1728864.0000000002</v>
      </c>
      <c r="AJ35" s="606">
        <f t="shared" si="21"/>
        <v>1728864.0000000002</v>
      </c>
      <c r="AK35" s="606">
        <f t="shared" si="21"/>
        <v>1728864.0000000002</v>
      </c>
      <c r="AL35" s="606">
        <f t="shared" si="21"/>
        <v>1728864.0000000002</v>
      </c>
      <c r="AM35" s="606">
        <f t="shared" si="21"/>
        <v>1728864.0000000002</v>
      </c>
    </row>
    <row r="36" spans="1:39" x14ac:dyDescent="0.3">
      <c r="A36" s="89"/>
      <c r="B36" s="89"/>
      <c r="C36" s="89"/>
      <c r="D36" s="606">
        <f>IF($P36=0,0,+$P$36/$P$34*D34)</f>
        <v>0</v>
      </c>
      <c r="E36" s="606">
        <f t="shared" ref="E36:O36" si="22">IF($P36=0,0,+$P$36/$P$34*E34)</f>
        <v>0</v>
      </c>
      <c r="F36" s="606">
        <f t="shared" si="22"/>
        <v>0</v>
      </c>
      <c r="G36" s="606">
        <f t="shared" si="22"/>
        <v>0</v>
      </c>
      <c r="H36" s="606">
        <f t="shared" si="22"/>
        <v>0</v>
      </c>
      <c r="I36" s="606">
        <f t="shared" si="22"/>
        <v>326575.16883116885</v>
      </c>
      <c r="J36" s="606">
        <f t="shared" si="22"/>
        <v>295278.38181818184</v>
      </c>
      <c r="K36" s="606">
        <f t="shared" si="22"/>
        <v>253095.75584415585</v>
      </c>
      <c r="L36" s="606">
        <f t="shared" si="22"/>
        <v>285753.27272727271</v>
      </c>
      <c r="M36" s="606">
        <f t="shared" si="22"/>
        <v>506191.5116883117</v>
      </c>
      <c r="N36" s="606">
        <f t="shared" si="22"/>
        <v>612328.44155844161</v>
      </c>
      <c r="O36" s="606">
        <f t="shared" si="22"/>
        <v>759287.26753246749</v>
      </c>
      <c r="P36" s="606">
        <f>IF(P34&gt;P35,(P34-P35)*'19 Resumen'!$D$11,0)</f>
        <v>3038509.8</v>
      </c>
      <c r="Q36" s="606">
        <f t="shared" ref="Q36:AA36" si="23">+$AC$36/$AC$34*Q34</f>
        <v>299501.11565538973</v>
      </c>
      <c r="R36" s="606">
        <f t="shared" si="23"/>
        <v>450861.89453499526</v>
      </c>
      <c r="S36" s="606">
        <f t="shared" si="23"/>
        <v>474210.09978770034</v>
      </c>
      <c r="T36" s="606">
        <f t="shared" si="23"/>
        <v>458912.99979454873</v>
      </c>
      <c r="U36" s="606">
        <f t="shared" si="23"/>
        <v>599002.23131077946</v>
      </c>
      <c r="V36" s="606">
        <f t="shared" si="23"/>
        <v>386453.05245856737</v>
      </c>
      <c r="W36" s="606">
        <f t="shared" si="23"/>
        <v>349417.96826462133</v>
      </c>
      <c r="X36" s="606">
        <f t="shared" si="23"/>
        <v>299501.11565538973</v>
      </c>
      <c r="Y36" s="606">
        <f t="shared" si="23"/>
        <v>338146.42090124643</v>
      </c>
      <c r="Z36" s="606">
        <f t="shared" si="23"/>
        <v>599002.23131077946</v>
      </c>
      <c r="AA36" s="606">
        <f t="shared" si="23"/>
        <v>724599.4733598138</v>
      </c>
      <c r="AB36" s="606">
        <f>+$AC$36/$AC$34*AB34</f>
        <v>898503.34696616908</v>
      </c>
      <c r="AC36" s="606">
        <f>IF(AC34&gt;AC35,(AC34-AC35)*'19 Resumen'!$D$11,0)</f>
        <v>5878111.9500000002</v>
      </c>
      <c r="AD36" s="606">
        <f t="shared" ref="AD36:AM36" si="24">IF(AD34&gt;AD35,(AD34-AD35)*0.025,0)</f>
        <v>253209.15000000002</v>
      </c>
      <c r="AE36" s="606">
        <f t="shared" si="24"/>
        <v>489842.66250000003</v>
      </c>
      <c r="AF36" s="606">
        <f t="shared" si="24"/>
        <v>543149.08875000011</v>
      </c>
      <c r="AG36" s="606">
        <f t="shared" si="24"/>
        <v>601786.15762500011</v>
      </c>
      <c r="AH36" s="606">
        <f t="shared" si="24"/>
        <v>666286.93338750023</v>
      </c>
      <c r="AI36" s="606">
        <f t="shared" si="24"/>
        <v>723047.61605850025</v>
      </c>
      <c r="AJ36" s="606">
        <f t="shared" si="24"/>
        <v>784349.15334318019</v>
      </c>
      <c r="AK36" s="606">
        <f t="shared" si="24"/>
        <v>850554.81361063477</v>
      </c>
      <c r="AL36" s="606">
        <f t="shared" si="24"/>
        <v>922056.92669948563</v>
      </c>
      <c r="AM36" s="606">
        <f t="shared" si="24"/>
        <v>999279.20883544441</v>
      </c>
    </row>
    <row r="37" spans="1:39" x14ac:dyDescent="0.3">
      <c r="A37" s="89"/>
      <c r="B37" s="89"/>
      <c r="C37" s="89"/>
      <c r="D37" s="89">
        <f t="shared" ref="D37:N37" si="25">IF(D22&gt;0,D22,0)</f>
        <v>0</v>
      </c>
      <c r="E37" s="89">
        <f t="shared" si="25"/>
        <v>0</v>
      </c>
      <c r="F37" s="89">
        <f t="shared" si="25"/>
        <v>0</v>
      </c>
      <c r="G37" s="89">
        <f t="shared" si="25"/>
        <v>0</v>
      </c>
      <c r="H37" s="89">
        <f t="shared" si="25"/>
        <v>0</v>
      </c>
      <c r="I37" s="89">
        <f t="shared" si="25"/>
        <v>362363</v>
      </c>
      <c r="J37" s="89">
        <f t="shared" si="25"/>
        <v>283355.15000000002</v>
      </c>
      <c r="K37" s="89">
        <f t="shared" si="25"/>
        <v>209657.7</v>
      </c>
      <c r="L37" s="89">
        <f t="shared" si="25"/>
        <v>271016.5</v>
      </c>
      <c r="M37" s="89">
        <f t="shared" si="25"/>
        <v>753735.55151515151</v>
      </c>
      <c r="N37" s="89">
        <f t="shared" si="25"/>
        <v>1039458.3215488215</v>
      </c>
      <c r="O37" s="89">
        <f>IF(O22&gt;0,O22,0)</f>
        <v>1349740.5915824918</v>
      </c>
      <c r="P37" s="89">
        <f>SUM(D37:O37)</f>
        <v>4269326.8146464648</v>
      </c>
      <c r="Q37" s="89">
        <f t="shared" ref="Q37:AA37" si="26">IF(Q22&gt;0,Q22,0)</f>
        <v>245487.79828282827</v>
      </c>
      <c r="R37" s="89">
        <f t="shared" si="26"/>
        <v>574449.59831649822</v>
      </c>
      <c r="S37" s="89">
        <f t="shared" si="26"/>
        <v>554220.5108501683</v>
      </c>
      <c r="T37" s="89">
        <f t="shared" si="26"/>
        <v>566573.80338383827</v>
      </c>
      <c r="U37" s="89">
        <f t="shared" si="26"/>
        <v>832209.94841750839</v>
      </c>
      <c r="V37" s="89">
        <f t="shared" si="26"/>
        <v>423206.47845117847</v>
      </c>
      <c r="W37" s="89">
        <f t="shared" si="26"/>
        <v>325985.53348484845</v>
      </c>
      <c r="X37" s="89">
        <f t="shared" si="26"/>
        <v>228100.98851851851</v>
      </c>
      <c r="Y37" s="89">
        <f t="shared" si="26"/>
        <v>296205.35855218855</v>
      </c>
      <c r="Z37" s="89">
        <f t="shared" si="26"/>
        <v>828403.29858585866</v>
      </c>
      <c r="AA37" s="89">
        <f t="shared" si="26"/>
        <v>1140967.9986195287</v>
      </c>
      <c r="AB37" s="89">
        <f>IF(AB22&gt;0,AB22,0)</f>
        <v>1483423.1086531982</v>
      </c>
      <c r="AC37" s="89">
        <f>SUM(Q37:AB37)</f>
        <v>7499234.4241161598</v>
      </c>
      <c r="AD37" s="89"/>
      <c r="AE37" s="89"/>
      <c r="AF37" s="89"/>
      <c r="AG37" s="89"/>
      <c r="AH37" s="89"/>
      <c r="AI37" s="89"/>
      <c r="AJ37" s="89"/>
      <c r="AK37" s="89"/>
      <c r="AL37" s="89"/>
      <c r="AM37" s="89"/>
    </row>
    <row r="38" spans="1:39" x14ac:dyDescent="0.3">
      <c r="A38" s="89"/>
      <c r="B38" s="89"/>
      <c r="C38" s="89"/>
      <c r="D38" s="89"/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</row>
    <row r="39" spans="1:39" x14ac:dyDescent="0.3">
      <c r="A39" s="89" t="s">
        <v>298</v>
      </c>
      <c r="B39" s="89"/>
      <c r="C39" s="89"/>
      <c r="D39" s="89"/>
      <c r="E39" s="89"/>
      <c r="F39" s="89"/>
      <c r="G39" s="89"/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</row>
    <row r="40" spans="1:39" x14ac:dyDescent="0.3">
      <c r="A40" s="183"/>
      <c r="B40" s="183" t="s">
        <v>299</v>
      </c>
      <c r="C40" s="183">
        <v>420</v>
      </c>
      <c r="D40" s="183">
        <f t="shared" ref="D40:O40" si="27">IF(D22&gt;0,D22,0)</f>
        <v>0</v>
      </c>
      <c r="E40" s="183">
        <f t="shared" si="27"/>
        <v>0</v>
      </c>
      <c r="F40" s="183">
        <f t="shared" si="27"/>
        <v>0</v>
      </c>
      <c r="G40" s="183">
        <f t="shared" si="27"/>
        <v>0</v>
      </c>
      <c r="H40" s="183">
        <f t="shared" si="27"/>
        <v>0</v>
      </c>
      <c r="I40" s="183">
        <f t="shared" si="27"/>
        <v>362363</v>
      </c>
      <c r="J40" s="183">
        <f t="shared" si="27"/>
        <v>283355.15000000002</v>
      </c>
      <c r="K40" s="183">
        <f t="shared" si="27"/>
        <v>209657.7</v>
      </c>
      <c r="L40" s="183">
        <f t="shared" si="27"/>
        <v>271016.5</v>
      </c>
      <c r="M40" s="183">
        <f t="shared" si="27"/>
        <v>753735.55151515151</v>
      </c>
      <c r="N40" s="183">
        <f t="shared" si="27"/>
        <v>1039458.3215488215</v>
      </c>
      <c r="O40" s="183">
        <f t="shared" si="27"/>
        <v>1349740.5915824918</v>
      </c>
      <c r="P40" s="183">
        <f>SUM(D40:O40)</f>
        <v>4269326.8146464648</v>
      </c>
      <c r="Q40" s="183">
        <f t="shared" ref="Q40:AB40" si="28">IF(Q22&gt;0,Q22,0)</f>
        <v>245487.79828282827</v>
      </c>
      <c r="R40" s="183">
        <f t="shared" si="28"/>
        <v>574449.59831649822</v>
      </c>
      <c r="S40" s="183">
        <f t="shared" si="28"/>
        <v>554220.5108501683</v>
      </c>
      <c r="T40" s="183">
        <f t="shared" si="28"/>
        <v>566573.80338383827</v>
      </c>
      <c r="U40" s="183">
        <f t="shared" si="28"/>
        <v>832209.94841750839</v>
      </c>
      <c r="V40" s="183">
        <f t="shared" si="28"/>
        <v>423206.47845117847</v>
      </c>
      <c r="W40" s="183">
        <f t="shared" si="28"/>
        <v>325985.53348484845</v>
      </c>
      <c r="X40" s="183">
        <f t="shared" si="28"/>
        <v>228100.98851851851</v>
      </c>
      <c r="Y40" s="183">
        <f t="shared" si="28"/>
        <v>296205.35855218855</v>
      </c>
      <c r="Z40" s="183">
        <f t="shared" si="28"/>
        <v>828403.29858585866</v>
      </c>
      <c r="AA40" s="183">
        <f t="shared" si="28"/>
        <v>1140967.9986195287</v>
      </c>
      <c r="AB40" s="183">
        <f t="shared" si="28"/>
        <v>1483423.1086531982</v>
      </c>
      <c r="AC40" s="183">
        <f>SUM(Q40:AB40)</f>
        <v>7499234.4241161598</v>
      </c>
      <c r="AD40" s="89"/>
      <c r="AE40" s="89"/>
      <c r="AF40" s="89"/>
      <c r="AG40" s="89"/>
      <c r="AH40" s="89"/>
      <c r="AI40" s="89"/>
      <c r="AJ40" s="89"/>
      <c r="AK40" s="89"/>
      <c r="AL40" s="89"/>
      <c r="AM40" s="89"/>
    </row>
    <row r="41" spans="1:39" x14ac:dyDescent="0.3">
      <c r="A41" s="183"/>
      <c r="B41" s="183" t="s">
        <v>300</v>
      </c>
      <c r="C41" s="183"/>
      <c r="D41" s="183"/>
      <c r="E41" s="183"/>
      <c r="F41" s="183"/>
      <c r="G41" s="183"/>
      <c r="H41" s="183"/>
      <c r="I41" s="183"/>
      <c r="J41" s="183"/>
      <c r="K41" s="183"/>
      <c r="L41" s="183"/>
      <c r="M41" s="183"/>
      <c r="N41" s="183"/>
      <c r="O41" s="183"/>
      <c r="P41" s="97">
        <f>IF(P22&lt;0,0,IF('19 Resumen'!$D$7=2,'4 Estado de Resultados'!P22*'19 Resumen'!$D$11,+P36))</f>
        <v>1020494.6443939394</v>
      </c>
      <c r="Q41" s="183"/>
      <c r="R41" s="183"/>
      <c r="S41" s="183"/>
      <c r="T41" s="183"/>
      <c r="U41" s="183"/>
      <c r="V41" s="183"/>
      <c r="W41" s="183"/>
      <c r="X41" s="183"/>
      <c r="Y41" s="183"/>
      <c r="Z41" s="183"/>
      <c r="AA41" s="183"/>
      <c r="AB41" s="183"/>
      <c r="AC41" s="97">
        <f>IF(AC22&lt;0,0,IF('19 Resumen'!$D$7=2,'4 Estado de Resultados'!AC22*'19 Resumen'!$D$11,+AC36))</f>
        <v>2249770.3272348489</v>
      </c>
      <c r="AD41" s="89"/>
      <c r="AE41" s="89"/>
      <c r="AF41" s="89"/>
      <c r="AG41" s="89"/>
      <c r="AH41" s="89"/>
      <c r="AI41" s="89"/>
      <c r="AJ41" s="89"/>
      <c r="AK41" s="89"/>
      <c r="AL41" s="89"/>
      <c r="AM41" s="89"/>
    </row>
    <row r="42" spans="1:39" x14ac:dyDescent="0.3">
      <c r="A42" s="183"/>
      <c r="B42" s="183" t="s">
        <v>301</v>
      </c>
      <c r="C42" s="183"/>
      <c r="D42" s="183">
        <f t="shared" ref="D42:O42" si="29">+D40*$P$41/$P$40</f>
        <v>0</v>
      </c>
      <c r="E42" s="183">
        <f t="shared" si="29"/>
        <v>0</v>
      </c>
      <c r="F42" s="183">
        <f t="shared" si="29"/>
        <v>0</v>
      </c>
      <c r="G42" s="183">
        <f t="shared" si="29"/>
        <v>0</v>
      </c>
      <c r="H42" s="183">
        <f t="shared" si="29"/>
        <v>0</v>
      </c>
      <c r="I42" s="183">
        <f t="shared" si="29"/>
        <v>86615.411956262396</v>
      </c>
      <c r="J42" s="183">
        <f t="shared" si="29"/>
        <v>67730.212651894733</v>
      </c>
      <c r="K42" s="183">
        <f t="shared" si="29"/>
        <v>50114.355095035848</v>
      </c>
      <c r="L42" s="183">
        <f t="shared" si="29"/>
        <v>64780.912495051612</v>
      </c>
      <c r="M42" s="183">
        <f t="shared" si="29"/>
        <v>180164.95972426955</v>
      </c>
      <c r="N42" s="183">
        <f t="shared" si="29"/>
        <v>248461.10318193701</v>
      </c>
      <c r="O42" s="183">
        <f t="shared" si="29"/>
        <v>322627.68928948825</v>
      </c>
      <c r="P42" s="183">
        <f>SUM(D42:O42)</f>
        <v>1020494.6443939394</v>
      </c>
      <c r="Q42" s="183">
        <f>+Q40*$AC$41/$AC$40</f>
        <v>73646.339484848519</v>
      </c>
      <c r="R42" s="183">
        <f t="shared" ref="R42:AB42" si="30">+R40*$AC$41/$AC$40</f>
        <v>172334.87949494956</v>
      </c>
      <c r="S42" s="183">
        <f t="shared" si="30"/>
        <v>166266.15325505057</v>
      </c>
      <c r="T42" s="183">
        <f t="shared" si="30"/>
        <v>169972.14101515154</v>
      </c>
      <c r="U42" s="183">
        <f t="shared" si="30"/>
        <v>249662.9845252526</v>
      </c>
      <c r="V42" s="183">
        <f t="shared" si="30"/>
        <v>126961.94353535358</v>
      </c>
      <c r="W42" s="183">
        <f t="shared" si="30"/>
        <v>97795.660045454584</v>
      </c>
      <c r="X42" s="183">
        <f t="shared" si="30"/>
        <v>68430.296555555586</v>
      </c>
      <c r="Y42" s="183">
        <f t="shared" si="30"/>
        <v>88861.607565656595</v>
      </c>
      <c r="Z42" s="183">
        <f t="shared" si="30"/>
        <v>248520.9895757577</v>
      </c>
      <c r="AA42" s="183">
        <f t="shared" si="30"/>
        <v>342290.39958585874</v>
      </c>
      <c r="AB42" s="183">
        <f t="shared" si="30"/>
        <v>445026.93259595963</v>
      </c>
      <c r="AC42" s="183">
        <f>SUM(Q42:AB42)</f>
        <v>2249770.3272348493</v>
      </c>
      <c r="AD42" s="89"/>
      <c r="AE42" s="89"/>
      <c r="AF42" s="89"/>
      <c r="AG42" s="89"/>
      <c r="AH42" s="89"/>
      <c r="AI42" s="89"/>
      <c r="AJ42" s="89"/>
      <c r="AK42" s="89"/>
      <c r="AL42" s="89"/>
      <c r="AM42" s="89"/>
    </row>
    <row r="43" spans="1:39" x14ac:dyDescent="0.3">
      <c r="A43" s="183"/>
      <c r="B43" s="183"/>
      <c r="C43" s="183"/>
      <c r="D43" s="183"/>
      <c r="E43" s="183"/>
      <c r="F43" s="183"/>
      <c r="G43" s="183"/>
      <c r="H43" s="183"/>
      <c r="I43" s="183"/>
      <c r="J43" s="183"/>
      <c r="K43" s="183"/>
      <c r="L43" s="183"/>
      <c r="M43" s="183"/>
      <c r="N43" s="183"/>
      <c r="O43" s="183"/>
      <c r="P43" s="183"/>
      <c r="Q43" s="183"/>
      <c r="R43" s="183"/>
      <c r="S43" s="183"/>
      <c r="T43" s="183"/>
      <c r="U43" s="183"/>
      <c r="V43" s="183"/>
      <c r="W43" s="183"/>
      <c r="X43" s="183"/>
      <c r="Y43" s="183"/>
      <c r="Z43" s="183"/>
      <c r="AA43" s="183"/>
      <c r="AB43" s="183"/>
      <c r="AC43" s="183"/>
      <c r="AD43" s="89"/>
      <c r="AE43" s="89"/>
      <c r="AF43" s="89"/>
      <c r="AG43" s="89"/>
      <c r="AH43" s="89"/>
      <c r="AI43" s="89"/>
      <c r="AJ43" s="89"/>
      <c r="AK43" s="89"/>
      <c r="AL43" s="89"/>
      <c r="AM43" s="89"/>
    </row>
    <row r="45" spans="1:39" x14ac:dyDescent="0.3">
      <c r="B45" s="1" t="s">
        <v>551</v>
      </c>
      <c r="C45" s="1">
        <f>+'6 Estructura del Capital'!B41-'6 Estructura del Capital'!B24</f>
        <v>2044000</v>
      </c>
      <c r="D45" s="1159">
        <f>C45/$C$45</f>
        <v>1</v>
      </c>
    </row>
    <row r="46" spans="1:39" x14ac:dyDescent="0.3">
      <c r="B46" s="1" t="s">
        <v>548</v>
      </c>
      <c r="C46" s="1">
        <f>+'19 Resumen'!D24</f>
        <v>150000</v>
      </c>
      <c r="D46" s="1159">
        <f>C46/$C$45</f>
        <v>7.3385518590998039E-2</v>
      </c>
    </row>
    <row r="47" spans="1:39" x14ac:dyDescent="0.3">
      <c r="B47" s="1" t="s">
        <v>549</v>
      </c>
      <c r="C47" s="1">
        <f>+'19 Resumen'!C26</f>
        <v>6</v>
      </c>
      <c r="D47" s="1157">
        <f>VLOOKUP(C47,'17 Hoja de Trabajo'!$B$30:$D$53,3)</f>
        <v>2017</v>
      </c>
    </row>
    <row r="48" spans="1:39" x14ac:dyDescent="0.3">
      <c r="B48" s="1" t="s">
        <v>550</v>
      </c>
      <c r="C48" s="1">
        <f>+C47+'19 Resumen'!D25</f>
        <v>66</v>
      </c>
      <c r="D48" s="1158">
        <f>ROUNDUP(C48/12+D47-1,0)</f>
        <v>2022</v>
      </c>
    </row>
  </sheetData>
  <customSheetViews>
    <customSheetView guid="{8FC2DB0D-4D0A-11D3-9924-0080ADC9B26E}" scale="75" fitToPage="1" hiddenRows="1" hiddenColumns="1" showRuler="0" topLeftCell="A2">
      <selection activeCell="A22" sqref="A22"/>
      <pageMargins left="0.98425196850393704" right="0.98425196850393704" top="0.98425196850393704" bottom="0.98425196850393704" header="0" footer="0"/>
      <printOptions horizontalCentered="1" verticalCentered="1"/>
      <pageSetup scale="50" orientation="landscape" blackAndWhite="1" horizontalDpi="300" verticalDpi="360" r:id="rId1"/>
      <headerFooter alignWithMargins="0">
        <oddFooter>&amp;L&amp;D&amp;R&amp;8Proyectos Especiales
SPDy GP</oddFooter>
      </headerFooter>
    </customSheetView>
  </customSheetViews>
  <mergeCells count="23">
    <mergeCell ref="AH3:AJ3"/>
    <mergeCell ref="AD6:AM6"/>
    <mergeCell ref="AK3:AM3"/>
    <mergeCell ref="AD4:AM4"/>
    <mergeCell ref="AD3:AG3"/>
    <mergeCell ref="AA3:AC3"/>
    <mergeCell ref="D6:P6"/>
    <mergeCell ref="A6:C8"/>
    <mergeCell ref="Q6:AC6"/>
    <mergeCell ref="D7:O7"/>
    <mergeCell ref="P7:P8"/>
    <mergeCell ref="Q7:AB7"/>
    <mergeCell ref="AC7:AC8"/>
    <mergeCell ref="Q4:AC4"/>
    <mergeCell ref="A9:B9"/>
    <mergeCell ref="K3:M3"/>
    <mergeCell ref="N3:P3"/>
    <mergeCell ref="Q3:W3"/>
    <mergeCell ref="X3:Z3"/>
    <mergeCell ref="A4:C4"/>
    <mergeCell ref="D4:P4"/>
    <mergeCell ref="A3:C3"/>
    <mergeCell ref="D3:J3"/>
  </mergeCells>
  <phoneticPr fontId="20" type="noConversion"/>
  <pageMargins left="0.39370078740157483" right="0.39370078740157483" top="0.78740157480314965" bottom="0.59055118110236227" header="0.39370078740157483" footer="0.39370078740157483"/>
  <pageSetup scale="50" fitToWidth="3" orientation="landscape" blackAndWhite="1" horizontalDpi="4294967293" verticalDpi="300" r:id="rId2"/>
  <headerFooter alignWithMargins="0">
    <oddHeader>&amp;C&amp;"Arial,Negrita"&amp;7Estudio de Factibilidad para el establecimiento de un mercado de mariscos en Hermosillo, Sonora</oddHeader>
    <oddFooter>&amp;L&amp;"Arial,Normal"&amp;7&amp;F - Hoja: &amp;A&amp;C&amp;"Arial,Normal"&amp;7&amp;D&amp;R&amp;"Arial,Normal"&amp;7&amp;P de  &amp;N</oddFooter>
  </headerFooter>
  <colBreaks count="2" manualBreakCount="2">
    <brk id="16" min="2" max="32" man="1"/>
    <brk id="29" min="2" max="32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211">
    <tabColor rgb="FFFF0000"/>
  </sheetPr>
  <dimension ref="A4:AM66"/>
  <sheetViews>
    <sheetView view="pageBreakPreview" topLeftCell="A5" zoomScale="50" zoomScaleNormal="70" zoomScaleSheetLayoutView="50" workbookViewId="0">
      <pane xSplit="1" ySplit="7" topLeftCell="B12" activePane="bottomRight" state="frozen"/>
      <selection activeCell="K44" sqref="K44"/>
      <selection pane="topRight" activeCell="K44" sqref="K44"/>
      <selection pane="bottomLeft" activeCell="K44" sqref="K44"/>
      <selection pane="bottomRight" activeCell="B12" sqref="B12"/>
    </sheetView>
  </sheetViews>
  <sheetFormatPr baseColWidth="10" defaultColWidth="9" defaultRowHeight="12.75" x14ac:dyDescent="0.2"/>
  <cols>
    <col min="1" max="1" width="34.625" style="1" customWidth="1"/>
    <col min="2" max="14" width="13.875" style="1" customWidth="1"/>
    <col min="15" max="28" width="15.625" style="1" customWidth="1"/>
    <col min="29" max="38" width="15.25" style="1" customWidth="1"/>
    <col min="39" max="16384" width="9" style="1"/>
  </cols>
  <sheetData>
    <row r="4" spans="1:39" ht="13.5" thickBot="1" x14ac:dyDescent="0.25"/>
    <row r="5" spans="1:39" s="7" customFormat="1" ht="24.95" customHeight="1" thickBot="1" x14ac:dyDescent="0.35">
      <c r="A5" s="1453" t="s">
        <v>157</v>
      </c>
      <c r="B5" s="1455"/>
      <c r="C5" s="1642" t="str">
        <f>+'19 Resumen'!D4</f>
        <v>La Lasaña de Garfield</v>
      </c>
      <c r="D5" s="1643"/>
      <c r="E5" s="1643"/>
      <c r="F5" s="1643"/>
      <c r="G5" s="1643"/>
      <c r="H5" s="1643"/>
      <c r="I5" s="1643"/>
      <c r="J5" s="1643" t="str">
        <f>+'19 Resumen'!D5</f>
        <v>Martin Delgado</v>
      </c>
      <c r="K5" s="1643"/>
      <c r="L5" s="1643"/>
      <c r="M5" s="1643" t="str">
        <f>+'19 Resumen'!D6</f>
        <v>Grupo Delgado´s</v>
      </c>
      <c r="N5" s="1643"/>
      <c r="O5" s="1652"/>
      <c r="P5" s="1642" t="str">
        <f>+C5</f>
        <v>La Lasaña de Garfield</v>
      </c>
      <c r="Q5" s="1643"/>
      <c r="R5" s="1643"/>
      <c r="S5" s="1643"/>
      <c r="T5" s="1643"/>
      <c r="U5" s="1643"/>
      <c r="V5" s="1643"/>
      <c r="W5" s="1643" t="str">
        <f>+J5</f>
        <v>Martin Delgado</v>
      </c>
      <c r="X5" s="1643"/>
      <c r="Y5" s="1643"/>
      <c r="Z5" s="1643" t="str">
        <f>+M5</f>
        <v>Grupo Delgado´s</v>
      </c>
      <c r="AA5" s="1643"/>
      <c r="AB5" s="1652"/>
      <c r="AC5" s="1623" t="str">
        <f>+P5</f>
        <v>La Lasaña de Garfield</v>
      </c>
      <c r="AD5" s="1624"/>
      <c r="AE5" s="1624"/>
      <c r="AF5" s="1624"/>
      <c r="AG5" s="1624" t="str">
        <f>+W5</f>
        <v>Martin Delgado</v>
      </c>
      <c r="AH5" s="1624"/>
      <c r="AI5" s="1624"/>
      <c r="AJ5" s="1624" t="str">
        <f>+Z5</f>
        <v>Grupo Delgado´s</v>
      </c>
      <c r="AK5" s="1624"/>
      <c r="AL5" s="1633"/>
      <c r="AM5" s="533"/>
    </row>
    <row r="6" spans="1:39" s="7" customFormat="1" ht="24.95" customHeight="1" thickBot="1" x14ac:dyDescent="0.35">
      <c r="A6" s="1499">
        <f>+'19 Resumen'!D2</f>
        <v>42747</v>
      </c>
      <c r="B6" s="1588"/>
      <c r="C6" s="1634" t="s">
        <v>157</v>
      </c>
      <c r="D6" s="1635"/>
      <c r="E6" s="1635"/>
      <c r="F6" s="1635"/>
      <c r="G6" s="1635"/>
      <c r="H6" s="1635"/>
      <c r="I6" s="1635"/>
      <c r="J6" s="1635"/>
      <c r="K6" s="1635"/>
      <c r="L6" s="1635"/>
      <c r="M6" s="1635"/>
      <c r="N6" s="1635"/>
      <c r="O6" s="1636"/>
      <c r="P6" s="1634" t="str">
        <f>+C6</f>
        <v>Estado de Fuentes y Usos</v>
      </c>
      <c r="Q6" s="1635"/>
      <c r="R6" s="1635"/>
      <c r="S6" s="1635"/>
      <c r="T6" s="1635"/>
      <c r="U6" s="1635"/>
      <c r="V6" s="1635"/>
      <c r="W6" s="1635"/>
      <c r="X6" s="1635"/>
      <c r="Y6" s="1635"/>
      <c r="Z6" s="1635"/>
      <c r="AA6" s="1635"/>
      <c r="AB6" s="1636"/>
      <c r="AC6" s="1637" t="str">
        <f>+P6</f>
        <v>Estado de Fuentes y Usos</v>
      </c>
      <c r="AD6" s="1638"/>
      <c r="AE6" s="1638"/>
      <c r="AF6" s="1638"/>
      <c r="AG6" s="1638"/>
      <c r="AH6" s="1638"/>
      <c r="AI6" s="1638"/>
      <c r="AJ6" s="1638"/>
      <c r="AK6" s="1638"/>
      <c r="AL6" s="1639"/>
      <c r="AM6" s="533"/>
    </row>
    <row r="7" spans="1:39" s="7" customFormat="1" ht="24.95" hidden="1" customHeight="1" thickBot="1" x14ac:dyDescent="0.35">
      <c r="A7" s="575"/>
      <c r="B7" s="576"/>
      <c r="C7" s="197">
        <v>1</v>
      </c>
      <c r="D7" s="198">
        <f t="shared" ref="D7:N7" si="0">+C7+1</f>
        <v>2</v>
      </c>
      <c r="E7" s="198">
        <f t="shared" si="0"/>
        <v>3</v>
      </c>
      <c r="F7" s="198">
        <f t="shared" si="0"/>
        <v>4</v>
      </c>
      <c r="G7" s="198">
        <f t="shared" si="0"/>
        <v>5</v>
      </c>
      <c r="H7" s="198">
        <f t="shared" si="0"/>
        <v>6</v>
      </c>
      <c r="I7" s="198">
        <f t="shared" si="0"/>
        <v>7</v>
      </c>
      <c r="J7" s="198">
        <f t="shared" si="0"/>
        <v>8</v>
      </c>
      <c r="K7" s="198">
        <f t="shared" si="0"/>
        <v>9</v>
      </c>
      <c r="L7" s="198">
        <f t="shared" si="0"/>
        <v>10</v>
      </c>
      <c r="M7" s="198">
        <f t="shared" si="0"/>
        <v>11</v>
      </c>
      <c r="N7" s="198">
        <f t="shared" si="0"/>
        <v>12</v>
      </c>
      <c r="O7" s="199"/>
      <c r="P7" s="200">
        <f>+N7+1</f>
        <v>13</v>
      </c>
      <c r="Q7" s="198">
        <f t="shared" ref="Q7:AA7" si="1">+P7+1</f>
        <v>14</v>
      </c>
      <c r="R7" s="198">
        <f t="shared" si="1"/>
        <v>15</v>
      </c>
      <c r="S7" s="198">
        <f t="shared" si="1"/>
        <v>16</v>
      </c>
      <c r="T7" s="198">
        <f t="shared" si="1"/>
        <v>17</v>
      </c>
      <c r="U7" s="198">
        <f t="shared" si="1"/>
        <v>18</v>
      </c>
      <c r="V7" s="198">
        <f t="shared" si="1"/>
        <v>19</v>
      </c>
      <c r="W7" s="198">
        <f t="shared" si="1"/>
        <v>20</v>
      </c>
      <c r="X7" s="198">
        <f t="shared" si="1"/>
        <v>21</v>
      </c>
      <c r="Y7" s="198">
        <f t="shared" si="1"/>
        <v>22</v>
      </c>
      <c r="Z7" s="198">
        <f t="shared" si="1"/>
        <v>23</v>
      </c>
      <c r="AA7" s="198">
        <f t="shared" si="1"/>
        <v>24</v>
      </c>
      <c r="AB7" s="201"/>
      <c r="AC7" s="202"/>
      <c r="AD7" s="203"/>
      <c r="AE7" s="203"/>
      <c r="AF7" s="203"/>
      <c r="AG7" s="203"/>
      <c r="AH7" s="203"/>
      <c r="AI7" s="203"/>
      <c r="AJ7" s="203"/>
      <c r="AK7" s="203"/>
      <c r="AL7" s="201"/>
      <c r="AM7" s="533"/>
    </row>
    <row r="8" spans="1:39" s="7" customFormat="1" ht="24.95" customHeight="1" thickBot="1" x14ac:dyDescent="0.35">
      <c r="A8" s="1653" t="s">
        <v>136</v>
      </c>
      <c r="B8" s="1655" t="s">
        <v>164</v>
      </c>
      <c r="C8" s="1627" t="s">
        <v>159</v>
      </c>
      <c r="D8" s="1628"/>
      <c r="E8" s="1628"/>
      <c r="F8" s="1628"/>
      <c r="G8" s="1628"/>
      <c r="H8" s="1628"/>
      <c r="I8" s="1628"/>
      <c r="J8" s="1628"/>
      <c r="K8" s="1628"/>
      <c r="L8" s="1628"/>
      <c r="M8" s="1628"/>
      <c r="N8" s="1628"/>
      <c r="O8" s="1629"/>
      <c r="P8" s="1630" t="str">
        <f>+C8</f>
        <v>Proforma Mensual</v>
      </c>
      <c r="Q8" s="1631"/>
      <c r="R8" s="1631"/>
      <c r="S8" s="1631"/>
      <c r="T8" s="1631"/>
      <c r="U8" s="1631"/>
      <c r="V8" s="1631"/>
      <c r="W8" s="1631"/>
      <c r="X8" s="1631"/>
      <c r="Y8" s="1631"/>
      <c r="Z8" s="1631"/>
      <c r="AA8" s="1631"/>
      <c r="AB8" s="1632"/>
      <c r="AC8" s="1627" t="s">
        <v>158</v>
      </c>
      <c r="AD8" s="1628"/>
      <c r="AE8" s="1628"/>
      <c r="AF8" s="1628"/>
      <c r="AG8" s="1628"/>
      <c r="AH8" s="1628"/>
      <c r="AI8" s="1628"/>
      <c r="AJ8" s="1628"/>
      <c r="AK8" s="1628"/>
      <c r="AL8" s="1629"/>
      <c r="AM8" s="533"/>
    </row>
    <row r="9" spans="1:39" s="7" customFormat="1" ht="22.15" customHeight="1" x14ac:dyDescent="0.3">
      <c r="A9" s="1653"/>
      <c r="B9" s="1655"/>
      <c r="C9" s="1607">
        <f>+'14 Cedula de Depreciaciones'!E6</f>
        <v>2017</v>
      </c>
      <c r="D9" s="1608"/>
      <c r="E9" s="1608"/>
      <c r="F9" s="1608"/>
      <c r="G9" s="1608"/>
      <c r="H9" s="1608"/>
      <c r="I9" s="1608"/>
      <c r="J9" s="1608"/>
      <c r="K9" s="1608"/>
      <c r="L9" s="1608"/>
      <c r="M9" s="1608"/>
      <c r="N9" s="1608"/>
      <c r="O9" s="1609" t="s">
        <v>130</v>
      </c>
      <c r="P9" s="1607">
        <f>+C9+1</f>
        <v>2018</v>
      </c>
      <c r="Q9" s="1608"/>
      <c r="R9" s="1608"/>
      <c r="S9" s="1608"/>
      <c r="T9" s="1608"/>
      <c r="U9" s="1608"/>
      <c r="V9" s="1608"/>
      <c r="W9" s="1608"/>
      <c r="X9" s="1608"/>
      <c r="Y9" s="1608"/>
      <c r="Z9" s="1608"/>
      <c r="AA9" s="1608"/>
      <c r="AB9" s="1443" t="s">
        <v>132</v>
      </c>
      <c r="AC9" s="457" t="s">
        <v>1</v>
      </c>
      <c r="AD9" s="456" t="s">
        <v>1</v>
      </c>
      <c r="AE9" s="456" t="s">
        <v>1</v>
      </c>
      <c r="AF9" s="456" t="s">
        <v>1</v>
      </c>
      <c r="AG9" s="456" t="s">
        <v>1</v>
      </c>
      <c r="AH9" s="456" t="s">
        <v>1</v>
      </c>
      <c r="AI9" s="456" t="s">
        <v>1</v>
      </c>
      <c r="AJ9" s="456" t="s">
        <v>1</v>
      </c>
      <c r="AK9" s="456" t="s">
        <v>1</v>
      </c>
      <c r="AL9" s="458" t="s">
        <v>1</v>
      </c>
      <c r="AM9" s="533"/>
    </row>
    <row r="10" spans="1:39" s="7" customFormat="1" ht="22.15" customHeight="1" thickBot="1" x14ac:dyDescent="0.4">
      <c r="A10" s="1654"/>
      <c r="B10" s="1656"/>
      <c r="C10" s="339" t="s">
        <v>60</v>
      </c>
      <c r="D10" s="340" t="s">
        <v>61</v>
      </c>
      <c r="E10" s="340" t="s">
        <v>62</v>
      </c>
      <c r="F10" s="340" t="s">
        <v>63</v>
      </c>
      <c r="G10" s="340" t="s">
        <v>64</v>
      </c>
      <c r="H10" s="340" t="s">
        <v>65</v>
      </c>
      <c r="I10" s="340" t="s">
        <v>66</v>
      </c>
      <c r="J10" s="340" t="s">
        <v>67</v>
      </c>
      <c r="K10" s="340" t="s">
        <v>68</v>
      </c>
      <c r="L10" s="340" t="s">
        <v>69</v>
      </c>
      <c r="M10" s="340" t="s">
        <v>70</v>
      </c>
      <c r="N10" s="340" t="s">
        <v>71</v>
      </c>
      <c r="O10" s="1610"/>
      <c r="P10" s="339" t="s">
        <v>60</v>
      </c>
      <c r="Q10" s="340" t="s">
        <v>61</v>
      </c>
      <c r="R10" s="340" t="s">
        <v>62</v>
      </c>
      <c r="S10" s="340" t="s">
        <v>63</v>
      </c>
      <c r="T10" s="340" t="s">
        <v>64</v>
      </c>
      <c r="U10" s="340" t="s">
        <v>65</v>
      </c>
      <c r="V10" s="340" t="s">
        <v>66</v>
      </c>
      <c r="W10" s="340" t="s">
        <v>67</v>
      </c>
      <c r="X10" s="340" t="s">
        <v>68</v>
      </c>
      <c r="Y10" s="340" t="s">
        <v>69</v>
      </c>
      <c r="Z10" s="340" t="s">
        <v>70</v>
      </c>
      <c r="AA10" s="340" t="s">
        <v>71</v>
      </c>
      <c r="AB10" s="1444"/>
      <c r="AC10" s="299">
        <f>+C9</f>
        <v>2017</v>
      </c>
      <c r="AD10" s="82">
        <f>+AC10+1</f>
        <v>2018</v>
      </c>
      <c r="AE10" s="82">
        <f t="shared" ref="AE10:AL10" si="2">+AD10+1</f>
        <v>2019</v>
      </c>
      <c r="AF10" s="82">
        <f t="shared" si="2"/>
        <v>2020</v>
      </c>
      <c r="AG10" s="82">
        <f t="shared" si="2"/>
        <v>2021</v>
      </c>
      <c r="AH10" s="82">
        <f t="shared" si="2"/>
        <v>2022</v>
      </c>
      <c r="AI10" s="82">
        <f t="shared" si="2"/>
        <v>2023</v>
      </c>
      <c r="AJ10" s="82">
        <f t="shared" si="2"/>
        <v>2024</v>
      </c>
      <c r="AK10" s="82">
        <f t="shared" si="2"/>
        <v>2025</v>
      </c>
      <c r="AL10" s="83">
        <f t="shared" si="2"/>
        <v>2026</v>
      </c>
      <c r="AM10" s="533"/>
    </row>
    <row r="11" spans="1:39" s="7" customFormat="1" ht="22.15" customHeight="1" thickBot="1" x14ac:dyDescent="0.35">
      <c r="A11" s="1640" t="s">
        <v>97</v>
      </c>
      <c r="B11" s="1641"/>
      <c r="C11" s="1674" t="str">
        <f>+A11</f>
        <v>Origen</v>
      </c>
      <c r="D11" s="1675"/>
      <c r="E11" s="1675"/>
      <c r="F11" s="1675"/>
      <c r="G11" s="1675"/>
      <c r="H11" s="1675"/>
      <c r="I11" s="1675"/>
      <c r="J11" s="1675"/>
      <c r="K11" s="1675"/>
      <c r="L11" s="1675"/>
      <c r="M11" s="1675"/>
      <c r="N11" s="1675"/>
      <c r="O11" s="1676"/>
      <c r="P11" s="1674" t="str">
        <f>+C11</f>
        <v>Origen</v>
      </c>
      <c r="Q11" s="1675"/>
      <c r="R11" s="1675"/>
      <c r="S11" s="1675"/>
      <c r="T11" s="1675"/>
      <c r="U11" s="1675"/>
      <c r="V11" s="1675"/>
      <c r="W11" s="1675"/>
      <c r="X11" s="1675"/>
      <c r="Y11" s="1675"/>
      <c r="Z11" s="1675"/>
      <c r="AA11" s="1675"/>
      <c r="AB11" s="1676"/>
      <c r="AC11" s="1671" t="str">
        <f>+P11</f>
        <v>Origen</v>
      </c>
      <c r="AD11" s="1672"/>
      <c r="AE11" s="1672"/>
      <c r="AF11" s="1672"/>
      <c r="AG11" s="1672"/>
      <c r="AH11" s="1672"/>
      <c r="AI11" s="1672"/>
      <c r="AJ11" s="1672"/>
      <c r="AK11" s="1672"/>
      <c r="AL11" s="1673"/>
      <c r="AM11" s="533"/>
    </row>
    <row r="12" spans="1:39" ht="15" customHeight="1" x14ac:dyDescent="0.2">
      <c r="A12" s="300" t="s">
        <v>353</v>
      </c>
      <c r="B12" s="534">
        <f>+'7 Balance Inicial'!B8</f>
        <v>570000</v>
      </c>
      <c r="C12" s="369">
        <f t="shared" ref="C12:L12" si="3">IF(C60=1,IF(B60=0,$B$54,B54),0)</f>
        <v>0</v>
      </c>
      <c r="D12" s="369">
        <f t="shared" si="3"/>
        <v>570000</v>
      </c>
      <c r="E12" s="369">
        <f t="shared" si="3"/>
        <v>570000</v>
      </c>
      <c r="F12" s="369">
        <f t="shared" si="3"/>
        <v>-280219</v>
      </c>
      <c r="G12" s="369">
        <f t="shared" si="3"/>
        <v>-482463</v>
      </c>
      <c r="H12" s="369">
        <f t="shared" si="3"/>
        <v>-807388</v>
      </c>
      <c r="I12" s="369">
        <f t="shared" si="3"/>
        <v>-358210.41195626243</v>
      </c>
      <c r="J12" s="369">
        <f t="shared" si="3"/>
        <v>-119155.47460815718</v>
      </c>
      <c r="K12" s="369">
        <f t="shared" si="3"/>
        <v>63817.870296806912</v>
      </c>
      <c r="L12" s="369">
        <f t="shared" si="3"/>
        <v>291968.30628660391</v>
      </c>
      <c r="M12" s="369">
        <f>IF(M60=1,IF(L60=0,$B$54,L54),0)</f>
        <v>885601.8947104828</v>
      </c>
      <c r="N12" s="369">
        <f>IF(N60=1,IF(M60=0,$B$54,M54),0)</f>
        <v>1696662.1097103644</v>
      </c>
      <c r="O12" s="370">
        <f>+B54</f>
        <v>570000</v>
      </c>
      <c r="P12" s="535">
        <f>IF(P$59=0,0,IF(N59=0,$B$54,O54))</f>
        <v>2668838.0086363629</v>
      </c>
      <c r="Q12" s="536">
        <f t="shared" ref="Q12:AA12" si="4">IF(Q$59=0,0,IF(O59=0,$B$54,P54))</f>
        <v>-655079.20259932661</v>
      </c>
      <c r="R12" s="536">
        <f t="shared" si="4"/>
        <v>-218723.15381144767</v>
      </c>
      <c r="S12" s="536">
        <f t="shared" si="4"/>
        <v>203472.53375000018</v>
      </c>
      <c r="T12" s="536">
        <f t="shared" si="4"/>
        <v>44518.882293086033</v>
      </c>
      <c r="U12" s="536">
        <f t="shared" si="4"/>
        <v>661307.17615167215</v>
      </c>
      <c r="V12" s="536">
        <f t="shared" si="4"/>
        <v>991793.04103382677</v>
      </c>
      <c r="W12" s="536">
        <f t="shared" si="4"/>
        <v>1254224.2444395507</v>
      </c>
      <c r="X12" s="536">
        <f t="shared" si="4"/>
        <v>1448136.2663688436</v>
      </c>
      <c r="Y12" s="536">
        <f t="shared" si="4"/>
        <v>1689721.3473217057</v>
      </c>
      <c r="Z12" s="536">
        <f t="shared" si="4"/>
        <v>2303844.9862981373</v>
      </c>
      <c r="AA12" s="536">
        <f t="shared" si="4"/>
        <v>3136763.9152981369</v>
      </c>
      <c r="AB12" s="1406">
        <f>+O54</f>
        <v>2668838.0086363629</v>
      </c>
      <c r="AC12" s="300">
        <f>+O12</f>
        <v>570000</v>
      </c>
      <c r="AD12" s="1408">
        <f>+AB12</f>
        <v>2668838.0086363629</v>
      </c>
      <c r="AE12" s="1408">
        <f>+AD54</f>
        <v>4029401.421321705</v>
      </c>
      <c r="AF12" s="1408">
        <f t="shared" ref="AF12:AL12" si="5">+AE54</f>
        <v>8880450.1874570735</v>
      </c>
      <c r="AG12" s="1408">
        <f t="shared" si="5"/>
        <v>14191669.33408672</v>
      </c>
      <c r="AH12" s="1408">
        <f>+AG54</f>
        <v>20150893.572340626</v>
      </c>
      <c r="AI12" s="1408">
        <f t="shared" si="5"/>
        <v>26784822.013209213</v>
      </c>
      <c r="AJ12" s="1408">
        <f t="shared" si="5"/>
        <v>33787594.359412938</v>
      </c>
      <c r="AK12" s="1408">
        <f t="shared" si="5"/>
        <v>42559493.328568466</v>
      </c>
      <c r="AL12" s="534">
        <f t="shared" si="5"/>
        <v>52462177.898280293</v>
      </c>
      <c r="AM12" s="89"/>
    </row>
    <row r="13" spans="1:39" ht="15" customHeight="1" x14ac:dyDescent="0.3">
      <c r="A13" s="303" t="s">
        <v>395</v>
      </c>
      <c r="B13" s="537">
        <f>'8 Programa de Inversiónes'!C27+'8 Programa de Inversiónes'!C35+'8 Programa de Inversiónes'!C45+'8 Programa de Inversiónes'!C50+'8 Programa de Inversiónes'!C17+'8 Programa de Inversiónes'!C18</f>
        <v>1324000</v>
      </c>
      <c r="C13" s="538"/>
      <c r="D13" s="366"/>
      <c r="E13" s="366"/>
      <c r="F13" s="62"/>
      <c r="G13" s="62"/>
      <c r="H13" s="62"/>
      <c r="I13" s="62"/>
      <c r="J13" s="62"/>
      <c r="K13" s="62"/>
      <c r="L13" s="62"/>
      <c r="M13" s="62"/>
      <c r="N13" s="62"/>
      <c r="O13" s="370"/>
      <c r="P13" s="366"/>
      <c r="Q13" s="366"/>
      <c r="R13" s="366"/>
      <c r="S13" s="366"/>
      <c r="T13" s="366"/>
      <c r="U13" s="366"/>
      <c r="V13" s="366"/>
      <c r="W13" s="366"/>
      <c r="X13" s="366"/>
      <c r="Y13" s="366"/>
      <c r="Z13" s="366"/>
      <c r="AA13" s="366"/>
      <c r="AB13" s="310"/>
      <c r="AC13" s="303"/>
      <c r="AD13" s="304"/>
      <c r="AE13" s="304"/>
      <c r="AF13" s="304"/>
      <c r="AG13" s="304"/>
      <c r="AH13" s="304"/>
      <c r="AI13" s="304"/>
      <c r="AJ13" s="304"/>
      <c r="AK13" s="304"/>
      <c r="AL13" s="311"/>
      <c r="AM13" s="89"/>
    </row>
    <row r="14" spans="1:39" ht="15" customHeight="1" x14ac:dyDescent="0.2">
      <c r="A14" s="303" t="s">
        <v>391</v>
      </c>
      <c r="B14" s="540"/>
      <c r="C14" s="538">
        <f>IF('19 Resumen'!D18=1,'19 Resumen'!D14,0)</f>
        <v>0</v>
      </c>
      <c r="D14" s="366">
        <f>IF('16 Crédito de Avio'!B8=0,IF('16 Crédito de Avio'!C8&gt;0,'16 Crédito de Avio'!C8,0),0)</f>
        <v>0</v>
      </c>
      <c r="E14" s="366">
        <f>IF('16 Crédito de Avio'!C8=0,IF('16 Crédito de Avio'!D8&gt;0,'16 Crédito de Avio'!D8,0),0)</f>
        <v>0</v>
      </c>
      <c r="F14" s="366">
        <f>IF('16 Crédito de Avio'!D8=0,IF('16 Crédito de Avio'!E8&gt;0,'16 Crédito de Avio'!E8,0),0)</f>
        <v>0</v>
      </c>
      <c r="G14" s="366">
        <f>IF('16 Crédito de Avio'!E8=0,IF('16 Crédito de Avio'!F8&gt;0,'16 Crédito de Avio'!F8,0),0)</f>
        <v>50000</v>
      </c>
      <c r="H14" s="366">
        <f>IF('16 Crédito de Avio'!F8=0,IF('16 Crédito de Avio'!G8&gt;0,'16 Crédito de Avio'!G8,0),0)</f>
        <v>0</v>
      </c>
      <c r="I14" s="366">
        <f>IF('16 Crédito de Avio'!G8=0,IF('16 Crédito de Avio'!H8&gt;0,'16 Crédito de Avio'!H8,0),0)</f>
        <v>0</v>
      </c>
      <c r="J14" s="366">
        <f>IF('16 Crédito de Avio'!H8=0,IF('16 Crédito de Avio'!I8&gt;0,'16 Crédito de Avio'!I8,0),0)</f>
        <v>0</v>
      </c>
      <c r="K14" s="366">
        <f>IF('16 Crédito de Avio'!I8=0,IF('16 Crédito de Avio'!J8&gt;0,'16 Crédito de Avio'!J8,0),0)</f>
        <v>0</v>
      </c>
      <c r="L14" s="366">
        <f>IF('16 Crédito de Avio'!J8=0,IF('16 Crédito de Avio'!K8&gt;0,'16 Crédito de Avio'!K8,0),0)</f>
        <v>0</v>
      </c>
      <c r="M14" s="366">
        <f>IF('16 Crédito de Avio'!K8=0,IF('16 Crédito de Avio'!L8&gt;0,'16 Crédito de Avio'!L8,0),0)</f>
        <v>0</v>
      </c>
      <c r="N14" s="366">
        <f>IF('16 Crédito de Avio'!L8=0,IF('16 Crédito de Avio'!M8&gt;0,'16 Crédito de Avio'!M8,0),0)</f>
        <v>0</v>
      </c>
      <c r="O14" s="370">
        <f>SUM(C14:N14)</f>
        <v>50000</v>
      </c>
      <c r="P14" s="366">
        <f>IF('16 Crédito de Avio'!N8=0,IF('16 Crédito de Avio'!O8&gt;0,'16 Crédito de Avio'!O8,0),0)</f>
        <v>0</v>
      </c>
      <c r="Q14" s="366">
        <f>IF('16 Crédito de Avio'!O8=0,IF('16 Crédito de Avio'!P8&gt;0,'16 Crédito de Avio'!P8,0),0)</f>
        <v>0</v>
      </c>
      <c r="R14" s="366">
        <f>IF('16 Crédito de Avio'!P8=0,IF('16 Crédito de Avio'!Q8&gt;0,'16 Crédito de Avio'!Q8,0),0)</f>
        <v>0</v>
      </c>
      <c r="S14" s="366">
        <f>IF('16 Crédito de Avio'!Q8=0,IF('16 Crédito de Avio'!R8&gt;0,'16 Crédito de Avio'!R8,0),0)</f>
        <v>0</v>
      </c>
      <c r="T14" s="366">
        <f>IF('16 Crédito de Avio'!R8=0,IF('16 Crédito de Avio'!S8&gt;0,'16 Crédito de Avio'!S8,0),0)</f>
        <v>0</v>
      </c>
      <c r="U14" s="366">
        <f>IF('16 Crédito de Avio'!S8=0,IF('16 Crédito de Avio'!T8&gt;0,'16 Crédito de Avio'!T8,0),0)</f>
        <v>0</v>
      </c>
      <c r="V14" s="366">
        <f>IF('16 Crédito de Avio'!T8=0,IF('16 Crédito de Avio'!U8&gt;0,'16 Crédito de Avio'!U8,0),0)</f>
        <v>0</v>
      </c>
      <c r="W14" s="366">
        <f>IF('16 Crédito de Avio'!U8=0,IF('16 Crédito de Avio'!V8&gt;0,'16 Crédito de Avio'!V8,0),0)</f>
        <v>0</v>
      </c>
      <c r="X14" s="366">
        <f>IF('16 Crédito de Avio'!V8=0,IF('16 Crédito de Avio'!W8&gt;0,'16 Crédito de Avio'!W8,0),0)</f>
        <v>0</v>
      </c>
      <c r="Y14" s="366">
        <f>IF('16 Crédito de Avio'!W8=0,IF('16 Crédito de Avio'!X8&gt;0,'16 Crédito de Avio'!X8,0),0)</f>
        <v>0</v>
      </c>
      <c r="Z14" s="366">
        <f>IF('16 Crédito de Avio'!X8=0,IF('16 Crédito de Avio'!Y8&gt;0,'16 Crédito de Avio'!Y8,0),0)</f>
        <v>0</v>
      </c>
      <c r="AA14" s="366">
        <f>IF('16 Crédito de Avio'!Y8=0,IF('16 Crédito de Avio'!Z8&gt;0,'16 Crédito de Avio'!Z8,0),0)</f>
        <v>0</v>
      </c>
      <c r="AB14" s="310">
        <f>SUM(P14:AA14)</f>
        <v>0</v>
      </c>
      <c r="AC14" s="303">
        <f>+O14</f>
        <v>50000</v>
      </c>
      <c r="AD14" s="304">
        <f>+AB14</f>
        <v>0</v>
      </c>
      <c r="AE14" s="541"/>
      <c r="AF14" s="541"/>
      <c r="AG14" s="541"/>
      <c r="AH14" s="541"/>
      <c r="AI14" s="541"/>
      <c r="AJ14" s="541"/>
      <c r="AK14" s="541"/>
      <c r="AL14" s="542"/>
      <c r="AM14" s="89"/>
    </row>
    <row r="15" spans="1:39" ht="15" customHeight="1" x14ac:dyDescent="0.2">
      <c r="A15" s="303" t="s">
        <v>643</v>
      </c>
      <c r="B15" s="540"/>
      <c r="C15" s="538">
        <f>IF('19 Resumen'!D23=1,'19 Resumen'!D19,0)</f>
        <v>0</v>
      </c>
      <c r="D15" s="366">
        <f>IF('15 Crédito Refaccionario'!B8=0,IF('15 Crédito Refaccionario'!C8&gt;0,'15 Crédito Refaccionario'!C8,0),0)</f>
        <v>0</v>
      </c>
      <c r="E15" s="366">
        <f>IF('15 Crédito Refaccionario'!C8=0,IF('15 Crédito Refaccionario'!D8&gt;0,'15 Crédito Refaccionario'!D8,0),0)</f>
        <v>100000</v>
      </c>
      <c r="F15" s="366">
        <f>IF('15 Crédito Refaccionario'!D8=0,IF('15 Crédito Refaccionario'!E8&gt;0,'15 Crédito Refaccionario'!E8,0),0)</f>
        <v>0</v>
      </c>
      <c r="G15" s="366">
        <f>IF('15 Crédito Refaccionario'!E8=0,IF('15 Crédito Refaccionario'!F8&gt;0,'15 Crédito Refaccionario'!F8,0),0)</f>
        <v>0</v>
      </c>
      <c r="H15" s="366">
        <f>IF('15 Crédito Refaccionario'!F8=0,IF('15 Crédito Refaccionario'!G8&gt;0,'15 Crédito Refaccionario'!G8,0),0)</f>
        <v>0</v>
      </c>
      <c r="I15" s="366">
        <f>IF('15 Crédito Refaccionario'!G8=0,IF('15 Crédito Refaccionario'!H8&gt;0,'15 Crédito Refaccionario'!H8,0),0)</f>
        <v>0</v>
      </c>
      <c r="J15" s="366">
        <f>IF('15 Crédito Refaccionario'!H8=0,IF('15 Crédito Refaccionario'!I8&gt;0,'15 Crédito Refaccionario'!I8,0),0)</f>
        <v>0</v>
      </c>
      <c r="K15" s="366">
        <f>IF('15 Crédito Refaccionario'!I8=0,IF('15 Crédito Refaccionario'!J8&gt;0,'15 Crédito Refaccionario'!J8,0),0)</f>
        <v>0</v>
      </c>
      <c r="L15" s="366">
        <f>IF('15 Crédito Refaccionario'!J8=0,IF('15 Crédito Refaccionario'!K8&gt;0,'15 Crédito Refaccionario'!K8,0),0)</f>
        <v>0</v>
      </c>
      <c r="M15" s="366">
        <f>IF('15 Crédito Refaccionario'!K8=0,IF('15 Crédito Refaccionario'!L8&gt;0,'15 Crédito Refaccionario'!L8,0),0)</f>
        <v>0</v>
      </c>
      <c r="N15" s="366">
        <f>IF('15 Crédito Refaccionario'!L8=0,IF('15 Crédito Refaccionario'!M8&gt;0,'15 Crédito Refaccionario'!M8,0),0)</f>
        <v>0</v>
      </c>
      <c r="O15" s="370">
        <f>SUM(C15:N15)</f>
        <v>100000</v>
      </c>
      <c r="P15" s="366">
        <f>IF('15 Crédito Refaccionario'!N8=0,IF('15 Crédito Refaccionario'!O8&gt;0,'15 Crédito Refaccionario'!O8,0),0)</f>
        <v>0</v>
      </c>
      <c r="Q15" s="366">
        <f>IF('15 Crédito Refaccionario'!O8=0,IF('15 Crédito Refaccionario'!P8&gt;0,'15 Crédito Refaccionario'!P8,0),0)</f>
        <v>0</v>
      </c>
      <c r="R15" s="366">
        <f>IF('15 Crédito Refaccionario'!P8=0,IF('15 Crédito Refaccionario'!Q8&gt;0,'15 Crédito Refaccionario'!Q8,0),0)</f>
        <v>0</v>
      </c>
      <c r="S15" s="366">
        <f>IF('15 Crédito Refaccionario'!Q8=0,IF('15 Crédito Refaccionario'!R8&gt;0,'15 Crédito Refaccionario'!R8,0),0)</f>
        <v>0</v>
      </c>
      <c r="T15" s="366">
        <f>IF('15 Crédito Refaccionario'!R8=0,IF('15 Crédito Refaccionario'!S8&gt;0,'15 Crédito Refaccionario'!S8,0),0)</f>
        <v>0</v>
      </c>
      <c r="U15" s="366">
        <f>IF('15 Crédito Refaccionario'!S8=0,IF('15 Crédito Refaccionario'!T8&gt;0,'15 Crédito Refaccionario'!T8,0),0)</f>
        <v>0</v>
      </c>
      <c r="V15" s="366">
        <f>IF('15 Crédito Refaccionario'!T8=0,IF('15 Crédito Refaccionario'!U8&gt;0,'15 Crédito Refaccionario'!U8,0),0)</f>
        <v>0</v>
      </c>
      <c r="W15" s="366">
        <f>IF('15 Crédito Refaccionario'!U8=0,IF('15 Crédito Refaccionario'!V8&gt;0,'15 Crédito Refaccionario'!V8,0),0)</f>
        <v>0</v>
      </c>
      <c r="X15" s="366">
        <f>IF('15 Crédito Refaccionario'!V8=0,IF('15 Crédito Refaccionario'!W8&gt;0,'15 Crédito Refaccionario'!W8,0),0)</f>
        <v>0</v>
      </c>
      <c r="Y15" s="366">
        <f>IF('15 Crédito Refaccionario'!W8=0,IF('15 Crédito Refaccionario'!X8&gt;0,'15 Crédito Refaccionario'!X8,0),0)</f>
        <v>0</v>
      </c>
      <c r="Z15" s="366">
        <f>IF('15 Crédito Refaccionario'!X8=0,IF('15 Crédito Refaccionario'!Y8&gt;0,'15 Crédito Refaccionario'!Y8,0),0)</f>
        <v>0</v>
      </c>
      <c r="AA15" s="366">
        <f>IF('15 Crédito Refaccionario'!Y8=0,IF('15 Crédito Refaccionario'!Z8&gt;0,'15 Crédito Refaccionario'!Z8,0),0)</f>
        <v>0</v>
      </c>
      <c r="AB15" s="310">
        <f>SUM(P15:AA15)</f>
        <v>0</v>
      </c>
      <c r="AC15" s="303">
        <f>+O15</f>
        <v>100000</v>
      </c>
      <c r="AD15" s="304">
        <f>+AB15</f>
        <v>0</v>
      </c>
      <c r="AE15" s="304"/>
      <c r="AF15" s="304"/>
      <c r="AG15" s="304"/>
      <c r="AH15" s="304"/>
      <c r="AI15" s="304"/>
      <c r="AJ15" s="304"/>
      <c r="AK15" s="304"/>
      <c r="AL15" s="311"/>
      <c r="AM15" s="89"/>
    </row>
    <row r="16" spans="1:39" ht="15" customHeight="1" x14ac:dyDescent="0.2">
      <c r="A16" s="303" t="s">
        <v>543</v>
      </c>
      <c r="B16" s="311"/>
      <c r="C16" s="538">
        <f>IF('19 Resumen'!$C$26=1,'19 Resumen'!$D$24,0)</f>
        <v>0</v>
      </c>
      <c r="D16" s="538">
        <f>IF('19 Resumen'!$C$26=2,'19 Resumen'!$D$24,0)</f>
        <v>0</v>
      </c>
      <c r="E16" s="538">
        <f>IF('19 Resumen'!$C$26=3,'19 Resumen'!$D$24,0)</f>
        <v>0</v>
      </c>
      <c r="F16" s="538">
        <f>IF('19 Resumen'!$C$26=4,'19 Resumen'!$D$24,0)</f>
        <v>0</v>
      </c>
      <c r="G16" s="538">
        <f>IF('19 Resumen'!$C$26=5,'19 Resumen'!$D$24,0)</f>
        <v>0</v>
      </c>
      <c r="H16" s="538">
        <f>IF('19 Resumen'!$C$26=6,'19 Resumen'!$D$24,0)</f>
        <v>150000</v>
      </c>
      <c r="I16" s="538">
        <f>IF('19 Resumen'!$C$26=7,'19 Resumen'!$D$24,0)</f>
        <v>0</v>
      </c>
      <c r="J16" s="538">
        <f>IF('19 Resumen'!$C$26=8,'19 Resumen'!$D$24,0)</f>
        <v>0</v>
      </c>
      <c r="K16" s="538">
        <f>IF('19 Resumen'!$C$26=9,'19 Resumen'!$D$24,0)</f>
        <v>0</v>
      </c>
      <c r="L16" s="538">
        <f>IF('19 Resumen'!$C$26=10,'19 Resumen'!$D$24,0)</f>
        <v>0</v>
      </c>
      <c r="M16" s="538">
        <f>IF('19 Resumen'!$C$26=11,'19 Resumen'!$D$24,0)</f>
        <v>0</v>
      </c>
      <c r="N16" s="538">
        <f>IF('19 Resumen'!$C$26=12,'19 Resumen'!$D$24,0)</f>
        <v>0</v>
      </c>
      <c r="O16" s="370">
        <f>SUM(C16:N16)</f>
        <v>150000</v>
      </c>
      <c r="P16" s="303"/>
      <c r="Q16" s="304"/>
      <c r="R16" s="304"/>
      <c r="S16" s="304"/>
      <c r="T16" s="304"/>
      <c r="U16" s="304"/>
      <c r="V16" s="304"/>
      <c r="W16" s="304"/>
      <c r="X16" s="304"/>
      <c r="Y16" s="304"/>
      <c r="Z16" s="304"/>
      <c r="AA16" s="304"/>
      <c r="AB16" s="310">
        <f>SUM(P16:AA16)</f>
        <v>0</v>
      </c>
      <c r="AC16" s="303">
        <f>+O16</f>
        <v>150000</v>
      </c>
      <c r="AD16" s="304">
        <f>+AB16</f>
        <v>0</v>
      </c>
      <c r="AE16" s="304"/>
      <c r="AF16" s="304"/>
      <c r="AG16" s="304"/>
      <c r="AH16" s="304"/>
      <c r="AI16" s="304"/>
      <c r="AJ16" s="304"/>
      <c r="AK16" s="304"/>
      <c r="AL16" s="311"/>
      <c r="AM16" s="89"/>
    </row>
    <row r="17" spans="1:39" ht="15" customHeight="1" x14ac:dyDescent="0.2">
      <c r="A17" s="303" t="s">
        <v>394</v>
      </c>
      <c r="B17" s="311"/>
      <c r="C17" s="538">
        <f>+'9 Ingresos'!D22</f>
        <v>0</v>
      </c>
      <c r="D17" s="366">
        <f>+'9 Ingresos'!E22</f>
        <v>0</v>
      </c>
      <c r="E17" s="366">
        <f>+'9 Ingresos'!F22</f>
        <v>0</v>
      </c>
      <c r="F17" s="366">
        <f>+'9 Ingresos'!G22</f>
        <v>0</v>
      </c>
      <c r="G17" s="366">
        <f>+'9 Ingresos'!H22</f>
        <v>0</v>
      </c>
      <c r="H17" s="366">
        <f>+'9 Ingresos'!I22</f>
        <v>1274400</v>
      </c>
      <c r="I17" s="366">
        <f>+'9 Ingresos'!J22</f>
        <v>1152270</v>
      </c>
      <c r="J17" s="366">
        <f>+'9 Ingresos'!K22</f>
        <v>987660</v>
      </c>
      <c r="K17" s="366">
        <f>+'9 Ingresos'!L22</f>
        <v>1115100</v>
      </c>
      <c r="L17" s="366">
        <f>+'9 Ingresos'!M22</f>
        <v>1975320</v>
      </c>
      <c r="M17" s="366">
        <f>+'9 Ingresos'!N22</f>
        <v>2389500</v>
      </c>
      <c r="N17" s="366">
        <f>+'9 Ingresos'!O22</f>
        <v>2962980</v>
      </c>
      <c r="O17" s="370">
        <f>SUM(C17:N17)</f>
        <v>11857230</v>
      </c>
      <c r="P17" s="304">
        <f>+'9 Ingresos'!Q22</f>
        <v>1086426</v>
      </c>
      <c r="Q17" s="304">
        <f>+'9 Ingresos'!R22</f>
        <v>1635480</v>
      </c>
      <c r="R17" s="304">
        <f>+'9 Ingresos'!S22</f>
        <v>1720174.5</v>
      </c>
      <c r="S17" s="304">
        <f>+'9 Ingresos'!T22</f>
        <v>1664685</v>
      </c>
      <c r="T17" s="304">
        <f>+'9 Ingresos'!U22</f>
        <v>2172852</v>
      </c>
      <c r="U17" s="304">
        <f>+'9 Ingresos'!V22</f>
        <v>1401840</v>
      </c>
      <c r="V17" s="304">
        <f>+'9 Ingresos'!W22</f>
        <v>1267497</v>
      </c>
      <c r="W17" s="304">
        <f>+'9 Ingresos'!X22</f>
        <v>1086426</v>
      </c>
      <c r="X17" s="304">
        <f>+'9 Ingresos'!Y22</f>
        <v>1226610</v>
      </c>
      <c r="Y17" s="304">
        <f>+'9 Ingresos'!Z22</f>
        <v>2172852</v>
      </c>
      <c r="Z17" s="304">
        <f>+'9 Ingresos'!AA22</f>
        <v>2628450</v>
      </c>
      <c r="AA17" s="304">
        <f>+'9 Ingresos'!AB22</f>
        <v>3259278</v>
      </c>
      <c r="AB17" s="310">
        <f>SUM(P17:AA17)</f>
        <v>21322570.5</v>
      </c>
      <c r="AC17" s="303">
        <f>'9 Ingresos'!AD22</f>
        <v>11857230</v>
      </c>
      <c r="AD17" s="304">
        <f>'9 Ingresos'!AE22</f>
        <v>21322570.5</v>
      </c>
      <c r="AE17" s="304">
        <f>'9 Ingresos'!AF22</f>
        <v>23454827.550000004</v>
      </c>
      <c r="AF17" s="304">
        <f>'9 Ingresos'!AG22</f>
        <v>25800310.305000003</v>
      </c>
      <c r="AG17" s="304">
        <f>'9 Ingresos'!AH22</f>
        <v>28380341.335500006</v>
      </c>
      <c r="AH17" s="304">
        <f>'9 Ingresos'!AI22</f>
        <v>30650768.642340008</v>
      </c>
      <c r="AI17" s="304">
        <f>'9 Ingresos'!AJ22</f>
        <v>33102830.133727208</v>
      </c>
      <c r="AJ17" s="304">
        <f>'9 Ingresos'!AK22</f>
        <v>35751056.544425391</v>
      </c>
      <c r="AK17" s="304">
        <f>'9 Ingresos'!AL22</f>
        <v>38611141.067979425</v>
      </c>
      <c r="AL17" s="311">
        <f>'9 Ingresos'!AM22</f>
        <v>41700032.353417777</v>
      </c>
      <c r="AM17" s="89"/>
    </row>
    <row r="18" spans="1:39" ht="15" customHeight="1" x14ac:dyDescent="0.2">
      <c r="A18" s="303" t="s">
        <v>5</v>
      </c>
      <c r="B18" s="542"/>
      <c r="C18" s="538">
        <f>+'11 Gastos de Operación'!D22+'11 Gastos de Operación'!D23+'10 Gastos  Admon y Ventas'!E24+'10 Gastos  Admon y Ventas'!E25</f>
        <v>0</v>
      </c>
      <c r="D18" s="366">
        <f>+'11 Gastos de Operación'!E22+'11 Gastos de Operación'!E23+'10 Gastos  Admon y Ventas'!F24+'10 Gastos  Admon y Ventas'!F25</f>
        <v>0</v>
      </c>
      <c r="E18" s="366">
        <f>+'11 Gastos de Operación'!F22+'11 Gastos de Operación'!F23+'10 Gastos  Admon y Ventas'!G24+'10 Gastos  Admon y Ventas'!G25</f>
        <v>23430</v>
      </c>
      <c r="F18" s="366">
        <f>+'11 Gastos de Operación'!G22+'11 Gastos de Operación'!G23+'10 Gastos  Admon y Ventas'!H24+'10 Gastos  Admon y Ventas'!H25</f>
        <v>23430</v>
      </c>
      <c r="G18" s="366">
        <f>+'11 Gastos de Operación'!H22+'11 Gastos de Operación'!H23+'10 Gastos  Admon y Ventas'!I24+'10 Gastos  Admon y Ventas'!I25</f>
        <v>23430</v>
      </c>
      <c r="H18" s="366">
        <f>+'11 Gastos de Operación'!I22+'11 Gastos de Operación'!I23+'10 Gastos  Admon y Ventas'!J24+'10 Gastos  Admon y Ventas'!J25</f>
        <v>23430</v>
      </c>
      <c r="I18" s="366">
        <f>+'11 Gastos de Operación'!J22+'11 Gastos de Operación'!J23+'10 Gastos  Admon y Ventas'!K24+'10 Gastos  Admon y Ventas'!K25</f>
        <v>23430</v>
      </c>
      <c r="J18" s="366">
        <f>+'11 Gastos de Operación'!K22+'11 Gastos de Operación'!K23+'10 Gastos  Admon y Ventas'!L24+'10 Gastos  Admon y Ventas'!L25</f>
        <v>23430</v>
      </c>
      <c r="K18" s="366">
        <f>+'11 Gastos de Operación'!L22+'11 Gastos de Operación'!L23+'10 Gastos  Admon y Ventas'!M24+'10 Gastos  Admon y Ventas'!M25</f>
        <v>23430</v>
      </c>
      <c r="L18" s="366">
        <f>+'11 Gastos de Operación'!M22+'11 Gastos de Operación'!M23+'10 Gastos  Admon y Ventas'!N24+'10 Gastos  Admon y Ventas'!N25</f>
        <v>23430</v>
      </c>
      <c r="M18" s="366">
        <f>+'11 Gastos de Operación'!N22+'11 Gastos de Operación'!N23+'10 Gastos  Admon y Ventas'!O24+'10 Gastos  Admon y Ventas'!O25</f>
        <v>23430</v>
      </c>
      <c r="N18" s="366">
        <f>+'11 Gastos de Operación'!O22+'11 Gastos de Operación'!O23+'10 Gastos  Admon y Ventas'!P24+'10 Gastos  Admon y Ventas'!P25</f>
        <v>23430</v>
      </c>
      <c r="O18" s="370">
        <f>SUM(C18:N18)</f>
        <v>234300</v>
      </c>
      <c r="P18" s="303">
        <f>+'11 Gastos de Operación'!Q22+'11 Gastos de Operación'!Q23+'10 Gastos  Admon y Ventas'!R24+'10 Gastos  Admon y Ventas'!R25</f>
        <v>37608.333333333336</v>
      </c>
      <c r="Q18" s="304">
        <f>+'11 Gastos de Operación'!R22+'11 Gastos de Operación'!R23+'10 Gastos  Admon y Ventas'!S24+'10 Gastos  Admon y Ventas'!S25</f>
        <v>37608.333333333336</v>
      </c>
      <c r="R18" s="304">
        <f>+'11 Gastos de Operación'!S22+'11 Gastos de Operación'!S23+'10 Gastos  Admon y Ventas'!T24+'10 Gastos  Admon y Ventas'!T25</f>
        <v>37608.333333333336</v>
      </c>
      <c r="S18" s="304">
        <f>+'11 Gastos de Operación'!T22+'11 Gastos de Operación'!T23+'10 Gastos  Admon y Ventas'!U24+'10 Gastos  Admon y Ventas'!U25</f>
        <v>37608.333333333336</v>
      </c>
      <c r="T18" s="304">
        <f>+'11 Gastos de Operación'!U22+'11 Gastos de Operación'!U23+'10 Gastos  Admon y Ventas'!V24+'10 Gastos  Admon y Ventas'!V25</f>
        <v>37608.333333333336</v>
      </c>
      <c r="U18" s="304">
        <f>+'11 Gastos de Operación'!V22+'11 Gastos de Operación'!V23+'10 Gastos  Admon y Ventas'!W24+'10 Gastos  Admon y Ventas'!W25</f>
        <v>37608.333333333336</v>
      </c>
      <c r="V18" s="304">
        <f>+'11 Gastos de Operación'!W22+'11 Gastos de Operación'!W23+'10 Gastos  Admon y Ventas'!X24+'10 Gastos  Admon y Ventas'!X25</f>
        <v>37608.333333333336</v>
      </c>
      <c r="W18" s="304">
        <f>+'11 Gastos de Operación'!X22+'11 Gastos de Operación'!X23+'10 Gastos  Admon y Ventas'!Y24+'10 Gastos  Admon y Ventas'!Y25</f>
        <v>37608.333333333336</v>
      </c>
      <c r="X18" s="304">
        <f>+'11 Gastos de Operación'!Y22+'11 Gastos de Operación'!Y23+'10 Gastos  Admon y Ventas'!Z24+'10 Gastos  Admon y Ventas'!Z25</f>
        <v>37608.333333333336</v>
      </c>
      <c r="Y18" s="304">
        <f>+'11 Gastos de Operación'!Z22+'11 Gastos de Operación'!Z23+'10 Gastos  Admon y Ventas'!AA24+'10 Gastos  Admon y Ventas'!AA25</f>
        <v>37608.333333333336</v>
      </c>
      <c r="Z18" s="304">
        <f>+'11 Gastos de Operación'!AA22+'11 Gastos de Operación'!AA23+'10 Gastos  Admon y Ventas'!AB24+'10 Gastos  Admon y Ventas'!AB25</f>
        <v>37608.333333333336</v>
      </c>
      <c r="AA18" s="304">
        <f>+'11 Gastos de Operación'!AB22+'11 Gastos de Operación'!AB23+'10 Gastos  Admon y Ventas'!AC24+'10 Gastos  Admon y Ventas'!AC25</f>
        <v>37608.333333333336</v>
      </c>
      <c r="AB18" s="310">
        <f>SUM(P18:AA18)</f>
        <v>451299.99999999994</v>
      </c>
      <c r="AC18" s="303">
        <f>+O18</f>
        <v>234300</v>
      </c>
      <c r="AD18" s="304">
        <f>+AB18</f>
        <v>451299.99999999994</v>
      </c>
      <c r="AE18" s="304">
        <f>+'11 Gastos de Operación'!AF22+'11 Gastos de Operación'!AF23+'10 Gastos  Admon y Ventas'!AG24+'10 Gastos  Admon y Ventas'!AG25</f>
        <v>492100</v>
      </c>
      <c r="AF18" s="304">
        <f>+'11 Gastos de Operación'!AG22+'11 Gastos de Operación'!AG23+'10 Gastos  Admon y Ventas'!AH24+'10 Gastos  Admon y Ventas'!AH25</f>
        <v>566100</v>
      </c>
      <c r="AG18" s="304">
        <f>+'11 Gastos de Operación'!AH22+'11 Gastos de Operación'!AH23+'10 Gastos  Admon y Ventas'!AI24+'10 Gastos  Admon y Ventas'!AI25</f>
        <v>649100</v>
      </c>
      <c r="AH18" s="304">
        <f>+'11 Gastos de Operación'!AI22+'11 Gastos de Operación'!AI23+'10 Gastos  Admon y Ventas'!AJ24+'10 Gastos  Admon y Ventas'!AJ25</f>
        <v>451100</v>
      </c>
      <c r="AI18" s="304">
        <f>+'11 Gastos de Operación'!AJ22+'11 Gastos de Operación'!AJ23+'10 Gastos  Admon y Ventas'!AK24+'10 Gastos  Admon y Ventas'!AK25</f>
        <v>505100</v>
      </c>
      <c r="AJ18" s="304">
        <f>+'11 Gastos de Operación'!AK22+'11 Gastos de Operación'!AK23+'10 Gastos  Admon y Ventas'!AL24+'10 Gastos  Admon y Ventas'!AL25</f>
        <v>533300</v>
      </c>
      <c r="AK18" s="304">
        <f>+'11 Gastos de Operación'!AL22+'11 Gastos de Operación'!AL23+'10 Gastos  Admon y Ventas'!AM24+'10 Gastos  Admon y Ventas'!AM25</f>
        <v>462100</v>
      </c>
      <c r="AL18" s="311">
        <f>+'11 Gastos de Operación'!AM22+'11 Gastos de Operación'!AM23+'10 Gastos  Admon y Ventas'!AN24+'10 Gastos  Admon y Ventas'!AN25</f>
        <v>496100</v>
      </c>
      <c r="AM18" s="89"/>
    </row>
    <row r="19" spans="1:39" ht="15" customHeight="1" thickBot="1" x14ac:dyDescent="0.25">
      <c r="A19" s="543" t="s">
        <v>6</v>
      </c>
      <c r="B19" s="544">
        <f t="shared" ref="B19:AB19" si="6">SUM(B12:B18)</f>
        <v>1894000</v>
      </c>
      <c r="C19" s="545">
        <f t="shared" si="6"/>
        <v>0</v>
      </c>
      <c r="D19" s="375">
        <f t="shared" si="6"/>
        <v>570000</v>
      </c>
      <c r="E19" s="375">
        <f t="shared" si="6"/>
        <v>693430</v>
      </c>
      <c r="F19" s="375">
        <f t="shared" si="6"/>
        <v>-256789</v>
      </c>
      <c r="G19" s="375">
        <f t="shared" si="6"/>
        <v>-409033</v>
      </c>
      <c r="H19" s="375">
        <f t="shared" si="6"/>
        <v>640442</v>
      </c>
      <c r="I19" s="375">
        <f t="shared" si="6"/>
        <v>817489.58804373757</v>
      </c>
      <c r="J19" s="375">
        <f t="shared" si="6"/>
        <v>891934.52539184282</v>
      </c>
      <c r="K19" s="375">
        <f t="shared" si="6"/>
        <v>1202347.870296807</v>
      </c>
      <c r="L19" s="375">
        <f t="shared" si="6"/>
        <v>2290718.3062866041</v>
      </c>
      <c r="M19" s="375">
        <f t="shared" si="6"/>
        <v>3298531.894710483</v>
      </c>
      <c r="N19" s="375">
        <f t="shared" si="6"/>
        <v>4683072.1097103646</v>
      </c>
      <c r="O19" s="376">
        <f t="shared" si="6"/>
        <v>12961530</v>
      </c>
      <c r="P19" s="543">
        <f t="shared" si="6"/>
        <v>3792872.3419696963</v>
      </c>
      <c r="Q19" s="546">
        <f t="shared" si="6"/>
        <v>1018009.1307340068</v>
      </c>
      <c r="R19" s="546">
        <f t="shared" si="6"/>
        <v>1539059.6795218855</v>
      </c>
      <c r="S19" s="546">
        <f t="shared" si="6"/>
        <v>1905765.8670833334</v>
      </c>
      <c r="T19" s="546">
        <f t="shared" si="6"/>
        <v>2254979.2156264195</v>
      </c>
      <c r="U19" s="546">
        <f t="shared" si="6"/>
        <v>2100755.5094850054</v>
      </c>
      <c r="V19" s="546">
        <f t="shared" si="6"/>
        <v>2296898.3743671603</v>
      </c>
      <c r="W19" s="546">
        <f t="shared" si="6"/>
        <v>2378258.5777728842</v>
      </c>
      <c r="X19" s="546">
        <f t="shared" si="6"/>
        <v>2712354.5997021771</v>
      </c>
      <c r="Y19" s="546">
        <f t="shared" si="6"/>
        <v>3900181.6806550394</v>
      </c>
      <c r="Z19" s="546">
        <f t="shared" si="6"/>
        <v>4969903.3196314704</v>
      </c>
      <c r="AA19" s="546">
        <f t="shared" si="6"/>
        <v>6433650.2486314699</v>
      </c>
      <c r="AB19" s="748">
        <f t="shared" si="6"/>
        <v>24442708.508636363</v>
      </c>
      <c r="AC19" s="307">
        <f t="shared" ref="AC19:AH19" si="7">SUM(AC12:AC18)</f>
        <v>12961530</v>
      </c>
      <c r="AD19" s="308">
        <f t="shared" si="7"/>
        <v>24442708.508636363</v>
      </c>
      <c r="AE19" s="308">
        <f t="shared" si="7"/>
        <v>27976328.971321709</v>
      </c>
      <c r="AF19" s="308">
        <f t="shared" si="7"/>
        <v>35246860.492457077</v>
      </c>
      <c r="AG19" s="308">
        <f t="shared" si="7"/>
        <v>43221110.669586726</v>
      </c>
      <c r="AH19" s="308">
        <f t="shared" si="7"/>
        <v>51252762.214680634</v>
      </c>
      <c r="AI19" s="308">
        <f t="shared" ref="AI19:AL19" si="8">SUM(AI12:AI18)</f>
        <v>60392752.146936417</v>
      </c>
      <c r="AJ19" s="308">
        <f t="shared" si="8"/>
        <v>70071950.903838336</v>
      </c>
      <c r="AK19" s="308">
        <f t="shared" si="8"/>
        <v>81632734.396547884</v>
      </c>
      <c r="AL19" s="313">
        <f t="shared" si="8"/>
        <v>94658310.251698077</v>
      </c>
      <c r="AM19" s="89"/>
    </row>
    <row r="20" spans="1:39" ht="15" customHeight="1" thickBot="1" x14ac:dyDescent="0.25">
      <c r="A20" s="547"/>
      <c r="B20" s="547"/>
      <c r="C20" s="381"/>
      <c r="D20" s="381"/>
      <c r="E20" s="381"/>
      <c r="F20" s="381"/>
      <c r="G20" s="381"/>
      <c r="H20" s="381"/>
      <c r="I20" s="381"/>
      <c r="J20" s="381"/>
      <c r="K20" s="381"/>
      <c r="L20" s="381"/>
      <c r="M20" s="381"/>
      <c r="N20" s="381"/>
      <c r="O20" s="381"/>
      <c r="P20" s="547"/>
      <c r="Q20" s="547"/>
      <c r="R20" s="547"/>
      <c r="S20" s="547"/>
      <c r="T20" s="547"/>
      <c r="U20" s="547"/>
      <c r="V20" s="547"/>
      <c r="W20" s="547"/>
      <c r="X20" s="547"/>
      <c r="Y20" s="547"/>
      <c r="Z20" s="547"/>
      <c r="AA20" s="547"/>
      <c r="AB20" s="547"/>
      <c r="AC20" s="1407"/>
      <c r="AD20" s="1407"/>
      <c r="AE20" s="1407"/>
      <c r="AF20" s="1407"/>
      <c r="AG20" s="1407"/>
      <c r="AH20" s="1407"/>
      <c r="AI20" s="1407"/>
      <c r="AJ20" s="1407"/>
      <c r="AK20" s="1407"/>
      <c r="AL20" s="1407"/>
      <c r="AM20" s="89"/>
    </row>
    <row r="21" spans="1:39" ht="15" customHeight="1" thickBot="1" x14ac:dyDescent="0.4">
      <c r="A21" s="1625" t="s">
        <v>202</v>
      </c>
      <c r="B21" s="1626"/>
      <c r="C21" s="1660" t="str">
        <f>+A21</f>
        <v>Aplicación</v>
      </c>
      <c r="D21" s="1661"/>
      <c r="E21" s="1661"/>
      <c r="F21" s="1661"/>
      <c r="G21" s="1661"/>
      <c r="H21" s="1661"/>
      <c r="I21" s="1661"/>
      <c r="J21" s="1661"/>
      <c r="K21" s="1661"/>
      <c r="L21" s="1661"/>
      <c r="M21" s="1661"/>
      <c r="N21" s="1661"/>
      <c r="O21" s="1662"/>
      <c r="P21" s="1663" t="str">
        <f>+C21</f>
        <v>Aplicación</v>
      </c>
      <c r="Q21" s="1664"/>
      <c r="R21" s="1664"/>
      <c r="S21" s="1664"/>
      <c r="T21" s="1664"/>
      <c r="U21" s="1664"/>
      <c r="V21" s="1664"/>
      <c r="W21" s="1664"/>
      <c r="X21" s="1664"/>
      <c r="Y21" s="1664"/>
      <c r="Z21" s="1664"/>
      <c r="AA21" s="1664"/>
      <c r="AB21" s="1665"/>
      <c r="AC21" s="1666" t="str">
        <f>+P21</f>
        <v>Aplicación</v>
      </c>
      <c r="AD21" s="1667"/>
      <c r="AE21" s="1667"/>
      <c r="AF21" s="1667"/>
      <c r="AG21" s="1667"/>
      <c r="AH21" s="1667"/>
      <c r="AI21" s="1667"/>
      <c r="AJ21" s="1667"/>
      <c r="AK21" s="1667"/>
      <c r="AL21" s="1668"/>
      <c r="AM21" s="89"/>
    </row>
    <row r="22" spans="1:39" ht="15" customHeight="1" x14ac:dyDescent="0.2">
      <c r="A22" s="1644" t="s">
        <v>224</v>
      </c>
      <c r="B22" s="1645"/>
      <c r="C22" s="1669" t="str">
        <f>+A22</f>
        <v>Inversión</v>
      </c>
      <c r="D22" s="1669"/>
      <c r="E22" s="1669"/>
      <c r="F22" s="1669"/>
      <c r="G22" s="1669"/>
      <c r="H22" s="1669"/>
      <c r="I22" s="1669"/>
      <c r="J22" s="1669"/>
      <c r="K22" s="1669"/>
      <c r="L22" s="1669"/>
      <c r="M22" s="1669"/>
      <c r="N22" s="1669"/>
      <c r="O22" s="1670"/>
      <c r="P22" s="1507" t="str">
        <f>+C22</f>
        <v>Inversión</v>
      </c>
      <c r="Q22" s="1507"/>
      <c r="R22" s="1507"/>
      <c r="S22" s="1507"/>
      <c r="T22" s="1507"/>
      <c r="U22" s="1507"/>
      <c r="V22" s="1507"/>
      <c r="W22" s="1507"/>
      <c r="X22" s="1507"/>
      <c r="Y22" s="1507"/>
      <c r="Z22" s="1507"/>
      <c r="AA22" s="1507"/>
      <c r="AB22" s="1507"/>
      <c r="AC22" s="1494" t="str">
        <f>+P22</f>
        <v>Inversión</v>
      </c>
      <c r="AD22" s="1495"/>
      <c r="AE22" s="1495"/>
      <c r="AF22" s="1495"/>
      <c r="AG22" s="1495"/>
      <c r="AH22" s="1495"/>
      <c r="AI22" s="1495"/>
      <c r="AJ22" s="1495"/>
      <c r="AK22" s="1495"/>
      <c r="AL22" s="1496"/>
      <c r="AM22" s="89"/>
    </row>
    <row r="23" spans="1:39" ht="15" customHeight="1" x14ac:dyDescent="0.2">
      <c r="A23" s="741" t="s">
        <v>397</v>
      </c>
      <c r="B23" s="1410"/>
      <c r="C23" s="1409"/>
      <c r="D23" s="743">
        <f>'8 Programa de Inversiónes'!D9</f>
        <v>0</v>
      </c>
      <c r="E23" s="742"/>
      <c r="F23" s="742"/>
      <c r="G23" s="742"/>
      <c r="H23" s="742"/>
      <c r="I23" s="742"/>
      <c r="J23" s="742"/>
      <c r="K23" s="742"/>
      <c r="L23" s="742"/>
      <c r="M23" s="742"/>
      <c r="N23" s="742"/>
      <c r="O23" s="744">
        <f>SUM(C23:N23)</f>
        <v>0</v>
      </c>
      <c r="P23" s="745"/>
      <c r="Q23" s="745"/>
      <c r="R23" s="745"/>
      <c r="S23" s="745"/>
      <c r="T23" s="745"/>
      <c r="U23" s="745"/>
      <c r="V23" s="745"/>
      <c r="W23" s="745"/>
      <c r="X23" s="745"/>
      <c r="Y23" s="745"/>
      <c r="Z23" s="745"/>
      <c r="AA23" s="745"/>
      <c r="AB23" s="746"/>
      <c r="AC23" s="750">
        <f>+O23</f>
        <v>0</v>
      </c>
      <c r="AD23" s="745"/>
      <c r="AE23" s="745"/>
      <c r="AF23" s="745"/>
      <c r="AG23" s="745"/>
      <c r="AH23" s="745"/>
      <c r="AI23" s="745"/>
      <c r="AJ23" s="745"/>
      <c r="AK23" s="745"/>
      <c r="AL23" s="749"/>
      <c r="AM23" s="89"/>
    </row>
    <row r="24" spans="1:39" x14ac:dyDescent="0.2">
      <c r="A24" s="303" t="s">
        <v>7</v>
      </c>
      <c r="B24" s="311">
        <f>+'8 Programa de Inversiónes'!C17</f>
        <v>870000</v>
      </c>
      <c r="C24" s="371"/>
      <c r="D24" s="366"/>
      <c r="E24" s="366"/>
      <c r="F24" s="366"/>
      <c r="G24" s="366"/>
      <c r="H24" s="366"/>
      <c r="I24" s="366"/>
      <c r="J24" s="366"/>
      <c r="K24" s="366"/>
      <c r="L24" s="366"/>
      <c r="M24" s="366"/>
      <c r="N24" s="366"/>
      <c r="O24" s="744">
        <f>+AC24</f>
        <v>0</v>
      </c>
      <c r="P24" s="304"/>
      <c r="Q24" s="304"/>
      <c r="R24" s="304"/>
      <c r="S24" s="304"/>
      <c r="T24" s="304"/>
      <c r="U24" s="304"/>
      <c r="V24" s="304"/>
      <c r="W24" s="304"/>
      <c r="X24" s="304"/>
      <c r="Y24" s="304"/>
      <c r="Z24" s="304"/>
      <c r="AA24" s="304">
        <f>+AB24</f>
        <v>0</v>
      </c>
      <c r="AB24" s="310">
        <f>+AD24</f>
        <v>0</v>
      </c>
      <c r="AC24" s="303">
        <f>+'8 Programa de Inversiónes'!D17</f>
        <v>0</v>
      </c>
      <c r="AD24" s="304">
        <f>+'8 Programa de Inversiónes'!E17</f>
        <v>0</v>
      </c>
      <c r="AE24" s="304">
        <f>+'8 Programa de Inversiónes'!F17</f>
        <v>0</v>
      </c>
      <c r="AF24" s="304">
        <f>+'8 Programa de Inversiónes'!G17</f>
        <v>0</v>
      </c>
      <c r="AG24" s="304">
        <f>+'8 Programa de Inversiónes'!H17</f>
        <v>0</v>
      </c>
      <c r="AH24" s="304">
        <f>+'8 Programa de Inversiónes'!I17</f>
        <v>0</v>
      </c>
      <c r="AI24" s="304">
        <f>+'8 Programa de Inversiónes'!J17</f>
        <v>0</v>
      </c>
      <c r="AJ24" s="304">
        <f>+'8 Programa de Inversiónes'!K17</f>
        <v>0</v>
      </c>
      <c r="AK24" s="304">
        <f>+'8 Programa de Inversiónes'!L17</f>
        <v>0</v>
      </c>
      <c r="AL24" s="311">
        <f>+'8 Programa de Inversiónes'!M17</f>
        <v>0</v>
      </c>
      <c r="AM24" s="89"/>
    </row>
    <row r="25" spans="1:39" x14ac:dyDescent="0.2">
      <c r="A25" s="303" t="s">
        <v>8</v>
      </c>
      <c r="B25" s="311">
        <f>+'8 Programa de Inversiónes'!C18</f>
        <v>0</v>
      </c>
      <c r="C25" s="538"/>
      <c r="D25" s="366"/>
      <c r="E25" s="366">
        <f>+O25</f>
        <v>0</v>
      </c>
      <c r="F25" s="366"/>
      <c r="G25" s="366"/>
      <c r="H25" s="366"/>
      <c r="I25" s="366"/>
      <c r="J25" s="366"/>
      <c r="K25" s="366"/>
      <c r="L25" s="366"/>
      <c r="M25" s="366"/>
      <c r="N25" s="366"/>
      <c r="O25" s="370">
        <f>+AC25</f>
        <v>0</v>
      </c>
      <c r="P25" s="548">
        <f>+AB25</f>
        <v>3500000</v>
      </c>
      <c r="Q25" s="548"/>
      <c r="R25" s="304"/>
      <c r="S25" s="304"/>
      <c r="T25" s="304"/>
      <c r="U25" s="304"/>
      <c r="V25" s="304"/>
      <c r="W25" s="304"/>
      <c r="X25" s="304"/>
      <c r="Y25" s="304"/>
      <c r="Z25" s="304"/>
      <c r="AA25" s="304"/>
      <c r="AB25" s="310">
        <f t="shared" ref="AB25:AB31" si="9">+AD25</f>
        <v>3500000</v>
      </c>
      <c r="AC25" s="303">
        <f>+'8 Programa de Inversiónes'!D18</f>
        <v>0</v>
      </c>
      <c r="AD25" s="304">
        <f>+'8 Programa de Inversiónes'!E18</f>
        <v>3500000</v>
      </c>
      <c r="AE25" s="304">
        <f>+'8 Programa de Inversiónes'!F18</f>
        <v>0</v>
      </c>
      <c r="AF25" s="304">
        <f>+'8 Programa de Inversiónes'!G18</f>
        <v>0</v>
      </c>
      <c r="AG25" s="304">
        <f>+'8 Programa de Inversiónes'!H18</f>
        <v>0</v>
      </c>
      <c r="AH25" s="304">
        <f>+'8 Programa de Inversiónes'!I18</f>
        <v>0</v>
      </c>
      <c r="AI25" s="304">
        <f>+'8 Programa de Inversiónes'!J18</f>
        <v>0</v>
      </c>
      <c r="AJ25" s="304">
        <f>+'8 Programa de Inversiónes'!K18</f>
        <v>0</v>
      </c>
      <c r="AK25" s="304">
        <f>+'8 Programa de Inversiónes'!L18</f>
        <v>0</v>
      </c>
      <c r="AL25" s="311">
        <f>+'8 Programa de Inversiónes'!M18</f>
        <v>0</v>
      </c>
      <c r="AM25" s="89"/>
    </row>
    <row r="26" spans="1:39" x14ac:dyDescent="0.2">
      <c r="A26" s="303" t="s">
        <v>9</v>
      </c>
      <c r="B26" s="311">
        <f>+'8 Programa de Inversiónes'!C27</f>
        <v>0</v>
      </c>
      <c r="C26" s="538"/>
      <c r="D26" s="366"/>
      <c r="E26" s="366">
        <f t="shared" ref="E26:E28" si="10">+O26</f>
        <v>165000</v>
      </c>
      <c r="F26" s="366"/>
      <c r="G26" s="366"/>
      <c r="H26" s="366"/>
      <c r="I26" s="366"/>
      <c r="J26" s="366"/>
      <c r="K26" s="549"/>
      <c r="L26" s="366"/>
      <c r="M26" s="366"/>
      <c r="N26" s="366"/>
      <c r="O26" s="372">
        <f t="shared" ref="O26:O31" si="11">+AC26</f>
        <v>165000</v>
      </c>
      <c r="P26" s="548">
        <f>+AB26</f>
        <v>0</v>
      </c>
      <c r="Q26" s="304"/>
      <c r="R26" s="304"/>
      <c r="S26" s="304"/>
      <c r="T26" s="304"/>
      <c r="U26" s="304"/>
      <c r="V26" s="304"/>
      <c r="W26" s="304"/>
      <c r="X26" s="304"/>
      <c r="Y26" s="304"/>
      <c r="Z26" s="304"/>
      <c r="AA26" s="304"/>
      <c r="AB26" s="310">
        <f t="shared" si="9"/>
        <v>0</v>
      </c>
      <c r="AC26" s="303">
        <f>+'8 Programa de Inversiónes'!D27</f>
        <v>165000</v>
      </c>
      <c r="AD26" s="304">
        <f>+'8 Programa de Inversiónes'!E27</f>
        <v>0</v>
      </c>
      <c r="AE26" s="304">
        <f>+'8 Programa de Inversiónes'!F27</f>
        <v>50000</v>
      </c>
      <c r="AF26" s="304">
        <f>+'8 Programa de Inversiónes'!G27</f>
        <v>0</v>
      </c>
      <c r="AG26" s="304">
        <f>+'8 Programa de Inversiónes'!H27</f>
        <v>0</v>
      </c>
      <c r="AH26" s="304">
        <f>+'8 Programa de Inversiónes'!I27</f>
        <v>50000</v>
      </c>
      <c r="AI26" s="304">
        <f>+'8 Programa de Inversiónes'!J27</f>
        <v>0</v>
      </c>
      <c r="AJ26" s="304">
        <f>+'8 Programa de Inversiónes'!K27</f>
        <v>15000</v>
      </c>
      <c r="AK26" s="304">
        <f>+'8 Programa de Inversiónes'!L27</f>
        <v>0</v>
      </c>
      <c r="AL26" s="311">
        <f>+'8 Programa de Inversiónes'!M27</f>
        <v>50000</v>
      </c>
      <c r="AM26" s="89"/>
    </row>
    <row r="27" spans="1:39" x14ac:dyDescent="0.2">
      <c r="A27" s="303" t="s">
        <v>10</v>
      </c>
      <c r="B27" s="311">
        <f>+'8 Programa de Inversiónes'!C35</f>
        <v>14000</v>
      </c>
      <c r="C27" s="538"/>
      <c r="D27" s="366"/>
      <c r="E27" s="366">
        <f t="shared" si="10"/>
        <v>390000</v>
      </c>
      <c r="F27" s="366"/>
      <c r="G27" s="366"/>
      <c r="H27" s="366"/>
      <c r="I27" s="366"/>
      <c r="J27" s="366"/>
      <c r="K27" s="366"/>
      <c r="L27" s="366"/>
      <c r="M27" s="366"/>
      <c r="N27" s="378"/>
      <c r="O27" s="372">
        <f t="shared" si="11"/>
        <v>390000</v>
      </c>
      <c r="P27" s="548">
        <f>+AB27</f>
        <v>30000</v>
      </c>
      <c r="Q27" s="304"/>
      <c r="R27" s="304"/>
      <c r="S27" s="304"/>
      <c r="T27" s="304"/>
      <c r="U27" s="304"/>
      <c r="V27" s="304"/>
      <c r="W27" s="304"/>
      <c r="X27" s="304"/>
      <c r="Y27" s="304"/>
      <c r="Z27" s="304"/>
      <c r="AA27" s="304"/>
      <c r="AB27" s="310">
        <f t="shared" si="9"/>
        <v>30000</v>
      </c>
      <c r="AC27" s="303">
        <f>+'8 Programa de Inversiónes'!D35</f>
        <v>390000</v>
      </c>
      <c r="AD27" s="304">
        <f>+'8 Programa de Inversiónes'!E35</f>
        <v>30000</v>
      </c>
      <c r="AE27" s="304">
        <f>+'8 Programa de Inversiónes'!F35</f>
        <v>14000</v>
      </c>
      <c r="AF27" s="304">
        <f>+'8 Programa de Inversiónes'!G35</f>
        <v>370000</v>
      </c>
      <c r="AG27" s="304">
        <f>+'8 Programa de Inversiónes'!H35</f>
        <v>195000</v>
      </c>
      <c r="AH27" s="304">
        <f>+'8 Programa de Inversiónes'!I35</f>
        <v>44000</v>
      </c>
      <c r="AI27" s="304">
        <f>+'8 Programa de Inversiónes'!J35</f>
        <v>340000</v>
      </c>
      <c r="AJ27" s="304">
        <f>+'8 Programa de Inversiónes'!K35</f>
        <v>30000</v>
      </c>
      <c r="AK27" s="304">
        <f>+'8 Programa de Inversiónes'!L35</f>
        <v>14000</v>
      </c>
      <c r="AL27" s="311">
        <f>+'8 Programa de Inversiónes'!M35</f>
        <v>535000</v>
      </c>
      <c r="AM27" s="89"/>
    </row>
    <row r="28" spans="1:39" x14ac:dyDescent="0.2">
      <c r="A28" s="303" t="s">
        <v>11</v>
      </c>
      <c r="B28" s="311">
        <f>+'8 Programa de Inversiónes'!C45</f>
        <v>290000</v>
      </c>
      <c r="C28" s="538"/>
      <c r="D28" s="366"/>
      <c r="E28" s="366">
        <f t="shared" si="10"/>
        <v>175000</v>
      </c>
      <c r="F28" s="366"/>
      <c r="G28" s="366"/>
      <c r="H28" s="366"/>
      <c r="I28" s="366"/>
      <c r="J28" s="366"/>
      <c r="K28" s="366"/>
      <c r="L28" s="366"/>
      <c r="M28" s="366"/>
      <c r="N28" s="366"/>
      <c r="O28" s="372">
        <f t="shared" si="11"/>
        <v>175000</v>
      </c>
      <c r="P28" s="550"/>
      <c r="Q28" s="541"/>
      <c r="R28" s="541"/>
      <c r="S28" s="541"/>
      <c r="T28" s="541"/>
      <c r="U28" s="541"/>
      <c r="V28" s="541"/>
      <c r="W28" s="541"/>
      <c r="X28" s="541"/>
      <c r="Y28" s="541"/>
      <c r="Z28" s="541"/>
      <c r="AA28" s="304">
        <f>+AB28</f>
        <v>180000</v>
      </c>
      <c r="AB28" s="310">
        <f t="shared" si="9"/>
        <v>180000</v>
      </c>
      <c r="AC28" s="303">
        <f>+'8 Programa de Inversiónes'!D45</f>
        <v>175000</v>
      </c>
      <c r="AD28" s="304">
        <f>+'8 Programa de Inversiónes'!E45</f>
        <v>180000</v>
      </c>
      <c r="AE28" s="304">
        <f>+'8 Programa de Inversiónes'!F45</f>
        <v>140000</v>
      </c>
      <c r="AF28" s="304">
        <f>+'8 Programa de Inversiónes'!G45</f>
        <v>0</v>
      </c>
      <c r="AG28" s="304">
        <f>+'8 Programa de Inversiónes'!H45</f>
        <v>220000</v>
      </c>
      <c r="AH28" s="304">
        <f>+'8 Programa de Inversiónes'!I45</f>
        <v>0</v>
      </c>
      <c r="AI28" s="304">
        <f>+'8 Programa de Inversiónes'!J45</f>
        <v>140000</v>
      </c>
      <c r="AJ28" s="304">
        <f>+'8 Programa de Inversiónes'!K45</f>
        <v>300000</v>
      </c>
      <c r="AK28" s="304">
        <f>+'8 Programa de Inversiónes'!L45</f>
        <v>0</v>
      </c>
      <c r="AL28" s="311">
        <f>+'8 Programa de Inversiónes'!M45</f>
        <v>0</v>
      </c>
      <c r="AM28" s="89"/>
    </row>
    <row r="29" spans="1:39" x14ac:dyDescent="0.2">
      <c r="A29" s="303" t="s">
        <v>3</v>
      </c>
      <c r="B29" s="311">
        <f>+'8 Programa de Inversiónes'!C50</f>
        <v>150000</v>
      </c>
      <c r="C29" s="538"/>
      <c r="D29" s="366"/>
      <c r="E29" s="366"/>
      <c r="F29" s="366"/>
      <c r="G29" s="366"/>
      <c r="H29" s="366">
        <f>+O29</f>
        <v>0</v>
      </c>
      <c r="I29" s="366"/>
      <c r="J29" s="366"/>
      <c r="K29" s="366"/>
      <c r="L29" s="366"/>
      <c r="M29" s="366"/>
      <c r="N29" s="366"/>
      <c r="O29" s="372">
        <f t="shared" si="11"/>
        <v>0</v>
      </c>
      <c r="P29" s="548"/>
      <c r="Q29" s="304"/>
      <c r="R29" s="304"/>
      <c r="S29" s="304"/>
      <c r="T29" s="304"/>
      <c r="U29" s="304"/>
      <c r="V29" s="304"/>
      <c r="W29" s="304"/>
      <c r="X29" s="304"/>
      <c r="Y29" s="304"/>
      <c r="Z29" s="304"/>
      <c r="AA29" s="304">
        <f>+AB29</f>
        <v>0</v>
      </c>
      <c r="AB29" s="310">
        <f t="shared" si="9"/>
        <v>0</v>
      </c>
      <c r="AC29" s="303">
        <f>+'8 Programa de Inversiónes'!D50</f>
        <v>0</v>
      </c>
      <c r="AD29" s="304">
        <f>+'8 Programa de Inversiónes'!E50</f>
        <v>0</v>
      </c>
      <c r="AE29" s="304">
        <f>+'8 Programa de Inversiónes'!F50</f>
        <v>0</v>
      </c>
      <c r="AF29" s="304">
        <f>+'8 Programa de Inversiónes'!G50</f>
        <v>0</v>
      </c>
      <c r="AG29" s="304">
        <f>+'8 Programa de Inversiónes'!H50</f>
        <v>0</v>
      </c>
      <c r="AH29" s="304">
        <f>+'8 Programa de Inversiónes'!I50</f>
        <v>0</v>
      </c>
      <c r="AI29" s="304">
        <f>+'8 Programa de Inversiónes'!J50</f>
        <v>0</v>
      </c>
      <c r="AJ29" s="304">
        <f>+'8 Programa de Inversiónes'!K50</f>
        <v>0</v>
      </c>
      <c r="AK29" s="304">
        <f>+'8 Programa de Inversiónes'!L50</f>
        <v>0</v>
      </c>
      <c r="AL29" s="311">
        <f>+'8 Programa de Inversiónes'!M50</f>
        <v>0</v>
      </c>
      <c r="AM29" s="89"/>
    </row>
    <row r="30" spans="1:39" x14ac:dyDescent="0.2">
      <c r="A30" s="303" t="s">
        <v>12</v>
      </c>
      <c r="B30" s="311">
        <f>+'8 Programa de Inversiónes'!C51</f>
        <v>0</v>
      </c>
      <c r="C30" s="538"/>
      <c r="D30" s="366"/>
      <c r="E30" s="366"/>
      <c r="F30" s="366"/>
      <c r="G30" s="366"/>
      <c r="H30" s="366"/>
      <c r="I30" s="366"/>
      <c r="J30" s="366"/>
      <c r="K30" s="366"/>
      <c r="L30" s="551"/>
      <c r="M30" s="551"/>
      <c r="N30" s="366">
        <f>+O30</f>
        <v>50000</v>
      </c>
      <c r="O30" s="372">
        <f t="shared" si="11"/>
        <v>50000</v>
      </c>
      <c r="P30" s="548"/>
      <c r="Q30" s="304"/>
      <c r="R30" s="304"/>
      <c r="S30" s="304"/>
      <c r="T30" s="304"/>
      <c r="U30" s="304"/>
      <c r="V30" s="304"/>
      <c r="W30" s="304"/>
      <c r="X30" s="304"/>
      <c r="Y30" s="304"/>
      <c r="Z30" s="304"/>
      <c r="AA30" s="304">
        <f>+AB30</f>
        <v>0</v>
      </c>
      <c r="AB30" s="310">
        <f t="shared" si="9"/>
        <v>0</v>
      </c>
      <c r="AC30" s="303">
        <f>+'8 Programa de Inversiónes'!D51</f>
        <v>50000</v>
      </c>
      <c r="AD30" s="304">
        <f>+'8 Programa de Inversiónes'!E51</f>
        <v>0</v>
      </c>
      <c r="AE30" s="304">
        <f>+'8 Programa de Inversiónes'!F51</f>
        <v>0</v>
      </c>
      <c r="AF30" s="304">
        <f>+'8 Programa de Inversiónes'!G51</f>
        <v>0</v>
      </c>
      <c r="AG30" s="304">
        <f>+'8 Programa de Inversiónes'!H51</f>
        <v>0</v>
      </c>
      <c r="AH30" s="304">
        <f>+'8 Programa de Inversiónes'!I51</f>
        <v>0</v>
      </c>
      <c r="AI30" s="304">
        <f>+'8 Programa de Inversiónes'!J51</f>
        <v>0</v>
      </c>
      <c r="AJ30" s="304">
        <f>+'8 Programa de Inversiónes'!K51</f>
        <v>0</v>
      </c>
      <c r="AK30" s="304">
        <f>+'8 Programa de Inversiónes'!L51</f>
        <v>0</v>
      </c>
      <c r="AL30" s="311">
        <f>+'8 Programa de Inversiónes'!M51</f>
        <v>0</v>
      </c>
      <c r="AM30" s="89"/>
    </row>
    <row r="31" spans="1:39" x14ac:dyDescent="0.2">
      <c r="A31" s="552" t="s">
        <v>4</v>
      </c>
      <c r="B31" s="553">
        <f>+'8 Programa de Inversiónes'!C52</f>
        <v>0</v>
      </c>
      <c r="C31" s="538"/>
      <c r="D31" s="551"/>
      <c r="E31" s="551"/>
      <c r="F31" s="551"/>
      <c r="G31" s="551"/>
      <c r="H31" s="551"/>
      <c r="I31" s="551"/>
      <c r="J31" s="551"/>
      <c r="K31" s="551"/>
      <c r="L31" s="551"/>
      <c r="M31" s="551"/>
      <c r="N31" s="551">
        <f>+O31</f>
        <v>25000</v>
      </c>
      <c r="O31" s="554">
        <f t="shared" si="11"/>
        <v>25000</v>
      </c>
      <c r="P31" s="555"/>
      <c r="Q31" s="556"/>
      <c r="R31" s="556"/>
      <c r="S31" s="556"/>
      <c r="T31" s="556"/>
      <c r="U31" s="556"/>
      <c r="V31" s="556"/>
      <c r="W31" s="556"/>
      <c r="X31" s="556"/>
      <c r="Y31" s="556"/>
      <c r="Z31" s="556"/>
      <c r="AA31" s="556">
        <f>+AB31</f>
        <v>0</v>
      </c>
      <c r="AB31" s="747">
        <f t="shared" si="9"/>
        <v>0</v>
      </c>
      <c r="AC31" s="303">
        <f>+'8 Programa de Inversiónes'!D52</f>
        <v>25000</v>
      </c>
      <c r="AD31" s="304">
        <f>+'8 Programa de Inversiónes'!E52</f>
        <v>0</v>
      </c>
      <c r="AE31" s="304">
        <f>+'8 Programa de Inversiónes'!F52</f>
        <v>0</v>
      </c>
      <c r="AF31" s="304">
        <f>+'8 Programa de Inversiónes'!G52</f>
        <v>0</v>
      </c>
      <c r="AG31" s="304">
        <f>+'8 Programa de Inversiónes'!H52</f>
        <v>0</v>
      </c>
      <c r="AH31" s="304">
        <f>+'8 Programa de Inversiónes'!I52</f>
        <v>0</v>
      </c>
      <c r="AI31" s="304">
        <f>+'8 Programa de Inversiónes'!J52</f>
        <v>0</v>
      </c>
      <c r="AJ31" s="304">
        <f>+'8 Programa de Inversiónes'!K52</f>
        <v>0</v>
      </c>
      <c r="AK31" s="304">
        <f>+'8 Programa de Inversiónes'!L52</f>
        <v>0</v>
      </c>
      <c r="AL31" s="311">
        <f>+'8 Programa de Inversiónes'!M52</f>
        <v>0</v>
      </c>
      <c r="AM31" s="89"/>
    </row>
    <row r="32" spans="1:39" x14ac:dyDescent="0.2">
      <c r="A32" s="557"/>
      <c r="B32" s="311"/>
      <c r="C32" s="371"/>
      <c r="D32" s="371"/>
      <c r="E32" s="371"/>
      <c r="F32" s="371"/>
      <c r="G32" s="371"/>
      <c r="H32" s="371"/>
      <c r="I32" s="371"/>
      <c r="J32" s="371"/>
      <c r="K32" s="371"/>
      <c r="L32" s="371"/>
      <c r="M32" s="371"/>
      <c r="N32" s="371"/>
      <c r="O32" s="558"/>
      <c r="P32" s="559"/>
      <c r="Q32" s="559"/>
      <c r="R32" s="559"/>
      <c r="S32" s="559"/>
      <c r="T32" s="559"/>
      <c r="U32" s="559"/>
      <c r="V32" s="559"/>
      <c r="W32" s="559"/>
      <c r="X32" s="559"/>
      <c r="Y32" s="559"/>
      <c r="Z32" s="559"/>
      <c r="AA32" s="559"/>
      <c r="AB32" s="559"/>
      <c r="AC32" s="557"/>
      <c r="AD32" s="559"/>
      <c r="AE32" s="559"/>
      <c r="AF32" s="559"/>
      <c r="AG32" s="559"/>
      <c r="AH32" s="559"/>
      <c r="AI32" s="559"/>
      <c r="AJ32" s="559"/>
      <c r="AK32" s="559"/>
      <c r="AL32" s="539"/>
      <c r="AM32" s="89"/>
    </row>
    <row r="33" spans="1:39" x14ac:dyDescent="0.2">
      <c r="A33" s="1646" t="s">
        <v>165</v>
      </c>
      <c r="B33" s="1647"/>
      <c r="C33" s="1648" t="str">
        <f>+A33</f>
        <v>Costos y gastos:</v>
      </c>
      <c r="D33" s="1649"/>
      <c r="E33" s="1649"/>
      <c r="F33" s="1649"/>
      <c r="G33" s="1649"/>
      <c r="H33" s="1649"/>
      <c r="I33" s="1649"/>
      <c r="J33" s="1649"/>
      <c r="K33" s="1649"/>
      <c r="L33" s="1649"/>
      <c r="M33" s="1649"/>
      <c r="N33" s="1649"/>
      <c r="O33" s="1650"/>
      <c r="P33" s="1651" t="str">
        <f>+C33</f>
        <v>Costos y gastos:</v>
      </c>
      <c r="Q33" s="1651"/>
      <c r="R33" s="1651"/>
      <c r="S33" s="1651"/>
      <c r="T33" s="1651"/>
      <c r="U33" s="1651"/>
      <c r="V33" s="1651"/>
      <c r="W33" s="1651"/>
      <c r="X33" s="1651"/>
      <c r="Y33" s="1651"/>
      <c r="Z33" s="1651"/>
      <c r="AA33" s="1651"/>
      <c r="AB33" s="1651"/>
      <c r="AC33" s="1657" t="str">
        <f>+P33</f>
        <v>Costos y gastos:</v>
      </c>
      <c r="AD33" s="1658"/>
      <c r="AE33" s="1658"/>
      <c r="AF33" s="1658"/>
      <c r="AG33" s="1658"/>
      <c r="AH33" s="1658"/>
      <c r="AI33" s="1658"/>
      <c r="AJ33" s="1658"/>
      <c r="AK33" s="1658"/>
      <c r="AL33" s="1659"/>
      <c r="AM33" s="89"/>
    </row>
    <row r="34" spans="1:39" x14ac:dyDescent="0.2">
      <c r="A34" s="303" t="s">
        <v>13</v>
      </c>
      <c r="B34" s="311"/>
      <c r="C34" s="538">
        <f>+'12 Costo Materias Primas'!C23+'13 Costo Personal d Operaciones'!E16</f>
        <v>0</v>
      </c>
      <c r="D34" s="366">
        <f>+'12 Costo Materias Primas'!D23+'13 Costo Personal d Operaciones'!F16</f>
        <v>0</v>
      </c>
      <c r="E34" s="366">
        <f>+'12 Costo Materias Primas'!E23+'13 Costo Personal d Operaciones'!G16</f>
        <v>0</v>
      </c>
      <c r="F34" s="366">
        <f>+'12 Costo Materias Primas'!F23+'13 Costo Personal d Operaciones'!H16</f>
        <v>0</v>
      </c>
      <c r="G34" s="366">
        <f>+'12 Costo Materias Primas'!G23+'13 Costo Personal d Operaciones'!I16</f>
        <v>127500</v>
      </c>
      <c r="H34" s="366">
        <f>+'12 Costo Materias Primas'!H23+'13 Costo Personal d Operaciones'!J16</f>
        <v>651060</v>
      </c>
      <c r="I34" s="366">
        <f>+'12 Costo Materias Primas'!I23+'13 Costo Personal d Operaciones'!K16</f>
        <v>600885.5</v>
      </c>
      <c r="J34" s="366">
        <f>+'12 Costo Materias Primas'!J23+'13 Costo Personal d Operaciones'!L16</f>
        <v>533259</v>
      </c>
      <c r="K34" s="366">
        <f>+'12 Costo Materias Primas'!K23+'13 Costo Personal d Operaciones'!M16</f>
        <v>585615</v>
      </c>
      <c r="L34" s="366">
        <f>+'12 Costo Materias Primas'!L23+'13 Costo Personal d Operaciones'!N16</f>
        <v>939018</v>
      </c>
      <c r="M34" s="366">
        <f>+'12 Costo Materias Primas'!M23+'13 Costo Personal d Operaciones'!O16</f>
        <v>1109175</v>
      </c>
      <c r="N34" s="366">
        <f>+'12 Costo Materias Primas'!N23+'13 Costo Personal d Operaciones'!P16</f>
        <v>1344777</v>
      </c>
      <c r="O34" s="372">
        <f>+'12 Costo Materias Primas'!O23+'13 Costo Personal d Operaciones'!Q16</f>
        <v>5891289.5</v>
      </c>
      <c r="P34" s="548">
        <f>+'12 Costo Materias Primas'!P23+'13 Costo Personal d Operaciones'!R16</f>
        <v>584034.9</v>
      </c>
      <c r="Q34" s="304">
        <f>+'12 Costo Materias Primas'!Q23+'13 Costo Personal d Operaciones'!S16</f>
        <v>809602</v>
      </c>
      <c r="R34" s="304">
        <f>+'12 Costo Materias Primas'!R23+'13 Costo Personal d Operaciones'!T16</f>
        <v>844396.92500000005</v>
      </c>
      <c r="S34" s="304">
        <f>+'12 Costo Materias Primas'!S23+'13 Costo Personal d Operaciones'!U16</f>
        <v>821600.25000000012</v>
      </c>
      <c r="T34" s="304">
        <f>+'12 Costo Materias Primas'!T23+'13 Costo Personal d Operaciones'!V16</f>
        <v>1030369.8</v>
      </c>
      <c r="U34" s="304">
        <f>+'12 Costo Materias Primas'!U23+'13 Costo Personal d Operaciones'!W16</f>
        <v>713616</v>
      </c>
      <c r="V34" s="304">
        <f>+'12 Costo Materias Primas'!V23+'13 Costo Personal d Operaciones'!X16</f>
        <v>658424.05000000005</v>
      </c>
      <c r="W34" s="304">
        <f>+'12 Costo Materias Primas'!W23+'13 Costo Personal d Operaciones'!Y16</f>
        <v>584034.9</v>
      </c>
      <c r="X34" s="304">
        <f>+'12 Costo Materias Primas'!X23+'13 Costo Personal d Operaciones'!Z16</f>
        <v>641626.5</v>
      </c>
      <c r="Y34" s="304">
        <f>+'12 Costo Materias Primas'!Y23+'13 Costo Personal d Operaciones'!AA16</f>
        <v>1030369.8</v>
      </c>
      <c r="Z34" s="304">
        <f>+'12 Costo Materias Primas'!Z23+'13 Costo Personal d Operaciones'!AB16</f>
        <v>1217542.5</v>
      </c>
      <c r="AA34" s="548">
        <f>+'12 Costo Materias Primas'!AA23+'13 Costo Personal d Operaciones'!AC16</f>
        <v>1476704.7000000004</v>
      </c>
      <c r="AB34" s="310">
        <f>+'12 Costo Materias Primas'!AB23+'13 Costo Personal d Operaciones'!AD16</f>
        <v>10412322.324999999</v>
      </c>
      <c r="AC34" s="303">
        <f>+'12 Costo Materias Primas'!AC23+'13 Costo Personal d Operaciones'!AE16</f>
        <v>5891289.5</v>
      </c>
      <c r="AD34" s="304">
        <f>+'12 Costo Materias Primas'!AD23+'13 Costo Personal d Operaciones'!AF16</f>
        <v>10412322.325000001</v>
      </c>
      <c r="AE34" s="304">
        <f>+'12 Costo Materias Primas'!AE23+'13 Costo Personal d Operaciones'!AG16</f>
        <v>11420506.557500001</v>
      </c>
      <c r="AF34" s="304">
        <f>+'12 Costo Materias Primas'!AF23+'13 Costo Personal d Operaciones'!AH16</f>
        <v>12526865.37325</v>
      </c>
      <c r="AG34" s="304">
        <f>+'12 Costo Materias Primas'!AG23+'13 Costo Personal d Operaciones'!AI16</f>
        <v>13741004.723375004</v>
      </c>
      <c r="AH34" s="304">
        <f>+'12 Costo Materias Primas'!AH23+'13 Costo Personal d Operaciones'!AJ16</f>
        <v>14806980.331504205</v>
      </c>
      <c r="AI34" s="304">
        <f>+'12 Costo Materias Primas'!AI23+'13 Costo Personal d Operaciones'!AK16</f>
        <v>15956102.483020328</v>
      </c>
      <c r="AJ34" s="304">
        <f>+'12 Costo Materias Primas'!AJ23+'13 Costo Personal d Operaciones'!AL16</f>
        <v>17194886.485057477</v>
      </c>
      <c r="AK34" s="304">
        <f>+'12 Costo Materias Primas'!AK23+'13 Costo Personal d Operaciones'!AM16</f>
        <v>18530360.138674911</v>
      </c>
      <c r="AL34" s="311">
        <f>+'12 Costo Materias Primas'!AL23+'13 Costo Personal d Operaciones'!AN16</f>
        <v>19970104.179609757</v>
      </c>
      <c r="AM34" s="89"/>
    </row>
    <row r="35" spans="1:39" x14ac:dyDescent="0.2">
      <c r="A35" s="303" t="s">
        <v>14</v>
      </c>
      <c r="B35" s="311"/>
      <c r="C35" s="538">
        <f>+'11 Gastos de Operación'!D24</f>
        <v>0</v>
      </c>
      <c r="D35" s="366">
        <f>+'11 Gastos de Operación'!E24</f>
        <v>0</v>
      </c>
      <c r="E35" s="366">
        <f>+'11 Gastos de Operación'!F24</f>
        <v>20763</v>
      </c>
      <c r="F35" s="366">
        <f>+'11 Gastos de Operación'!G24</f>
        <v>40703</v>
      </c>
      <c r="G35" s="366">
        <f>+'11 Gastos de Operación'!H24</f>
        <v>60440</v>
      </c>
      <c r="H35" s="366">
        <f>+'11 Gastos de Operación'!I24</f>
        <v>39430</v>
      </c>
      <c r="I35" s="366">
        <f>+'11 Gastos de Operación'!J24</f>
        <v>51355</v>
      </c>
      <c r="J35" s="366">
        <f>+'11 Gastos de Operación'!K24</f>
        <v>45760</v>
      </c>
      <c r="K35" s="366">
        <f>+'11 Gastos de Operación'!L24</f>
        <v>44635</v>
      </c>
      <c r="L35" s="366">
        <f>+'11 Gastos de Operación'!M24</f>
        <v>52940</v>
      </c>
      <c r="M35" s="366">
        <f>+'11 Gastos de Operación'!N24</f>
        <v>39715</v>
      </c>
      <c r="N35" s="366">
        <f>+'11 Gastos de Operación'!O24</f>
        <v>39860</v>
      </c>
      <c r="O35" s="372">
        <f>+'11 Gastos de Operación'!P24</f>
        <v>435601</v>
      </c>
      <c r="P35" s="548">
        <f>+'11 Gastos de Operación'!Q24</f>
        <v>58112.26666666667</v>
      </c>
      <c r="Q35" s="304">
        <f>+'11 Gastos de Operación'!R24</f>
        <v>48447.066666666673</v>
      </c>
      <c r="R35" s="304">
        <f>+'11 Gastos de Operación'!S24</f>
        <v>51277.666666666664</v>
      </c>
      <c r="S35" s="304">
        <f>+'11 Gastos de Operación'!T24</f>
        <v>68012.066666666666</v>
      </c>
      <c r="T35" s="304">
        <f>+'11 Gastos de Operación'!U24</f>
        <v>71633.066666666666</v>
      </c>
      <c r="U35" s="304">
        <f>+'11 Gastos de Operación'!V24</f>
        <v>55431.466666666667</v>
      </c>
      <c r="V35" s="304">
        <f>+'11 Gastos de Operación'!W24</f>
        <v>68124.46666666666</v>
      </c>
      <c r="W35" s="304">
        <f>+'11 Gastos de Operación'!X24</f>
        <v>62246.26666666667</v>
      </c>
      <c r="X35" s="304">
        <f>+'11 Gastos de Operación'!Y24</f>
        <v>61001.26666666667</v>
      </c>
      <c r="Y35" s="304">
        <f>+'11 Gastos de Operación'!Z24</f>
        <v>69407.066666666666</v>
      </c>
      <c r="Z35" s="304">
        <f>+'11 Gastos de Operación'!AA24</f>
        <v>55366.066666666673</v>
      </c>
      <c r="AA35" s="304">
        <f>+'11 Gastos de Operación'!AB24</f>
        <v>55362.26666666667</v>
      </c>
      <c r="AB35" s="310">
        <f>+'11 Gastos de Operación'!AC24</f>
        <v>724421</v>
      </c>
      <c r="AC35" s="303">
        <f>+'11 Gastos de Operación'!AD24</f>
        <v>435601</v>
      </c>
      <c r="AD35" s="304">
        <f>+'11 Gastos de Operación'!AE24</f>
        <v>724421</v>
      </c>
      <c r="AE35" s="304">
        <f>+'11 Gastos de Operación'!AF24</f>
        <v>784166.26</v>
      </c>
      <c r="AF35" s="304">
        <f>+'11 Gastos de Operación'!AG24</f>
        <v>807216.23560000001</v>
      </c>
      <c r="AG35" s="304">
        <f>+'11 Gastos de Operación'!AH24</f>
        <v>875649.20973600005</v>
      </c>
      <c r="AH35" s="304">
        <f>+'11 Gastos de Operación'!AI24</f>
        <v>770368.37180332805</v>
      </c>
      <c r="AI35" s="304">
        <f>+'11 Gastos de Operación'!AJ24</f>
        <v>784082.05364988791</v>
      </c>
      <c r="AJ35" s="304">
        <f>+'11 Gastos de Operación'!AK24</f>
        <v>831837.99222508259</v>
      </c>
      <c r="AK35" s="304">
        <f>+'11 Gastos de Operación'!AL24</f>
        <v>855686.21585188643</v>
      </c>
      <c r="AL35" s="311">
        <f>+'11 Gastos de Operación'!AM24</f>
        <v>846679.15421277704</v>
      </c>
      <c r="AM35" s="89"/>
    </row>
    <row r="36" spans="1:39" x14ac:dyDescent="0.2">
      <c r="A36" s="303" t="s">
        <v>15</v>
      </c>
      <c r="B36" s="311"/>
      <c r="C36" s="538">
        <f>+'10 Gastos  Admon y Ventas'!E41</f>
        <v>0</v>
      </c>
      <c r="D36" s="366">
        <f>+'10 Gastos  Admon y Ventas'!F41</f>
        <v>0</v>
      </c>
      <c r="E36" s="366">
        <f>+'10 Gastos  Admon y Ventas'!G41</f>
        <v>222886</v>
      </c>
      <c r="F36" s="366">
        <f>+'10 Gastos  Admon y Ventas'!H41</f>
        <v>183971</v>
      </c>
      <c r="G36" s="366">
        <f>+'10 Gastos  Admon y Ventas'!I41</f>
        <v>209415</v>
      </c>
      <c r="H36" s="366">
        <f>+'10 Gastos  Admon y Ventas'!J41</f>
        <v>220047</v>
      </c>
      <c r="I36" s="366">
        <f>+'10 Gastos  Admon y Ventas'!K41</f>
        <v>215174.35</v>
      </c>
      <c r="J36" s="366">
        <f>+'10 Gastos  Admon y Ventas'!L41</f>
        <v>197483.3</v>
      </c>
      <c r="K36" s="366">
        <f>+'10 Gastos  Admon y Ventas'!M41</f>
        <v>212333.5</v>
      </c>
      <c r="L36" s="366">
        <f>+'10 Gastos  Admon y Ventas'!N41</f>
        <v>228141.6</v>
      </c>
      <c r="M36" s="366">
        <f>+'10 Gastos  Admon y Ventas'!O41</f>
        <v>199700.5</v>
      </c>
      <c r="N36" s="366">
        <f>+'10 Gastos  Admon y Ventas'!P41</f>
        <v>227184.9</v>
      </c>
      <c r="O36" s="372">
        <f>+'10 Gastos  Admon y Ventas'!Q41</f>
        <v>2116337.15</v>
      </c>
      <c r="P36" s="548">
        <f>+'10 Gastos  Admon y Ventas'!R41</f>
        <v>197407.19666666666</v>
      </c>
      <c r="Q36" s="304">
        <f>+'10 Gastos  Admon y Ventas'!S41</f>
        <v>201631.16666666669</v>
      </c>
      <c r="R36" s="304">
        <f>+'10 Gastos  Admon y Ventas'!T41</f>
        <v>268962.89916666667</v>
      </c>
      <c r="S36" s="304">
        <f>+'10 Gastos  Admon y Ventas'!U41</f>
        <v>207216.05166666667</v>
      </c>
      <c r="T36" s="304">
        <f>+'10 Gastos  Admon y Ventas'!V41</f>
        <v>237390.02666666667</v>
      </c>
      <c r="U36" s="304">
        <f>+'10 Gastos  Admon y Ventas'!W41</f>
        <v>208370.56666666668</v>
      </c>
      <c r="V36" s="304">
        <f>+'10 Gastos  Admon y Ventas'!X41</f>
        <v>213781.13166666665</v>
      </c>
      <c r="W36" s="304">
        <f>+'10 Gastos  Admon y Ventas'!Y41</f>
        <v>210895.69666666666</v>
      </c>
      <c r="X36" s="304">
        <f>+'10 Gastos  Admon y Ventas'!Z41</f>
        <v>226662.39666666667</v>
      </c>
      <c r="Y36" s="304">
        <f>+'10 Gastos  Admon y Ventas'!AA41</f>
        <v>243591.02666666667</v>
      </c>
      <c r="Z36" s="304">
        <f>+'10 Gastos  Admon y Ventas'!AB41</f>
        <v>213526.29666666666</v>
      </c>
      <c r="AA36" s="304">
        <f>+'10 Gastos  Admon y Ventas'!AC41</f>
        <v>242774.45666666667</v>
      </c>
      <c r="AB36" s="310">
        <f>+'10 Gastos  Admon y Ventas'!AD41</f>
        <v>2672208.9125000001</v>
      </c>
      <c r="AC36" s="303">
        <f>+'10 Gastos  Admon y Ventas'!AE41</f>
        <v>2116337.15</v>
      </c>
      <c r="AD36" s="304">
        <f>+'10 Gastos  Admon y Ventas'!AF41</f>
        <v>2672208.9125000001</v>
      </c>
      <c r="AE36" s="304">
        <f>+'10 Gastos  Admon y Ventas'!AG41</f>
        <v>2806888.7272500005</v>
      </c>
      <c r="AF36" s="304">
        <f>+'10 Gastos  Admon y Ventas'!AH41</f>
        <v>3022360.9468850004</v>
      </c>
      <c r="AG36" s="304">
        <f>+'10 Gastos  Admon y Ventas'!AI41</f>
        <v>3213135.4849781003</v>
      </c>
      <c r="AH36" s="304">
        <f>+'10 Gastos  Admon y Ventas'!AJ41</f>
        <v>3271407.5765629695</v>
      </c>
      <c r="AI36" s="304">
        <f>+'10 Gastos  Admon y Ventas'!AK41</f>
        <v>3471286.861299491</v>
      </c>
      <c r="AJ36" s="304">
        <f>+'10 Gastos  Admon y Ventas'!AL41</f>
        <v>3620425.1489553014</v>
      </c>
      <c r="AK36" s="304">
        <f>+'10 Gastos  Admon y Ventas'!AM41</f>
        <v>3703701.4826946505</v>
      </c>
      <c r="AL36" s="311">
        <f>+'10 Gastos  Admon y Ventas'!AN41</f>
        <v>3935223.8012592169</v>
      </c>
      <c r="AM36" s="89"/>
    </row>
    <row r="37" spans="1:39" x14ac:dyDescent="0.2">
      <c r="A37" s="560" t="s">
        <v>87</v>
      </c>
      <c r="B37" s="311"/>
      <c r="C37" s="538"/>
      <c r="D37" s="366"/>
      <c r="E37" s="366"/>
      <c r="F37" s="366"/>
      <c r="G37" s="366"/>
      <c r="H37" s="366"/>
      <c r="I37" s="366"/>
      <c r="J37" s="366"/>
      <c r="K37" s="366"/>
      <c r="L37" s="366">
        <f>+'7 Balance Inicial'!E8</f>
        <v>0</v>
      </c>
      <c r="M37" s="366"/>
      <c r="N37" s="366"/>
      <c r="O37" s="372">
        <f t="shared" ref="O37:O42" si="12">SUM(D37:N37)</f>
        <v>0</v>
      </c>
      <c r="P37" s="548"/>
      <c r="Q37" s="304"/>
      <c r="R37" s="304"/>
      <c r="S37" s="304"/>
      <c r="T37" s="304"/>
      <c r="U37" s="304"/>
      <c r="V37" s="304"/>
      <c r="W37" s="304"/>
      <c r="X37" s="304"/>
      <c r="Y37" s="304"/>
      <c r="Z37" s="304"/>
      <c r="AA37" s="304"/>
      <c r="AB37" s="310"/>
      <c r="AC37" s="303">
        <f>+O37</f>
        <v>0</v>
      </c>
      <c r="AD37" s="304"/>
      <c r="AE37" s="304"/>
      <c r="AF37" s="304"/>
      <c r="AG37" s="304"/>
      <c r="AH37" s="304"/>
      <c r="AI37" s="304"/>
      <c r="AJ37" s="304"/>
      <c r="AK37" s="304"/>
      <c r="AL37" s="311"/>
      <c r="AM37" s="89"/>
    </row>
    <row r="38" spans="1:39" x14ac:dyDescent="0.2">
      <c r="A38" s="560" t="s">
        <v>103</v>
      </c>
      <c r="B38" s="311"/>
      <c r="C38" s="538"/>
      <c r="D38" s="366"/>
      <c r="E38" s="366"/>
      <c r="F38" s="366"/>
      <c r="G38" s="366"/>
      <c r="H38" s="366"/>
      <c r="I38" s="366"/>
      <c r="J38" s="366"/>
      <c r="K38" s="366"/>
      <c r="L38" s="366">
        <f>+'7 Balance Inicial'!E11</f>
        <v>0</v>
      </c>
      <c r="M38" s="366"/>
      <c r="N38" s="366"/>
      <c r="O38" s="372">
        <f t="shared" si="12"/>
        <v>0</v>
      </c>
      <c r="P38" s="548"/>
      <c r="Q38" s="304"/>
      <c r="R38" s="304"/>
      <c r="S38" s="304"/>
      <c r="T38" s="304"/>
      <c r="U38" s="304"/>
      <c r="V38" s="304"/>
      <c r="W38" s="304"/>
      <c r="X38" s="304"/>
      <c r="Y38" s="304"/>
      <c r="Z38" s="304"/>
      <c r="AA38" s="304"/>
      <c r="AB38" s="310"/>
      <c r="AC38" s="303">
        <f t="shared" ref="AC38:AC43" si="13">+O38</f>
        <v>0</v>
      </c>
      <c r="AD38" s="304"/>
      <c r="AE38" s="304"/>
      <c r="AF38" s="304"/>
      <c r="AG38" s="304"/>
      <c r="AH38" s="304"/>
      <c r="AI38" s="304"/>
      <c r="AJ38" s="304"/>
      <c r="AK38" s="304"/>
      <c r="AL38" s="311"/>
      <c r="AM38" s="89"/>
    </row>
    <row r="39" spans="1:39" x14ac:dyDescent="0.2">
      <c r="A39" s="560" t="s">
        <v>88</v>
      </c>
      <c r="B39" s="311"/>
      <c r="C39" s="538"/>
      <c r="D39" s="366"/>
      <c r="E39" s="366"/>
      <c r="F39" s="366"/>
      <c r="G39" s="366"/>
      <c r="H39" s="366"/>
      <c r="I39" s="366"/>
      <c r="J39" s="366"/>
      <c r="K39" s="366"/>
      <c r="L39" s="366">
        <f>+'7 Balance Inicial'!E14</f>
        <v>0</v>
      </c>
      <c r="M39" s="366"/>
      <c r="N39" s="366"/>
      <c r="O39" s="372">
        <f t="shared" si="12"/>
        <v>0</v>
      </c>
      <c r="P39" s="548"/>
      <c r="Q39" s="304"/>
      <c r="R39" s="304"/>
      <c r="S39" s="304"/>
      <c r="T39" s="304"/>
      <c r="U39" s="304"/>
      <c r="V39" s="304"/>
      <c r="W39" s="304"/>
      <c r="X39" s="304"/>
      <c r="Y39" s="304"/>
      <c r="Z39" s="304"/>
      <c r="AA39" s="304"/>
      <c r="AB39" s="310"/>
      <c r="AC39" s="303">
        <f t="shared" si="13"/>
        <v>0</v>
      </c>
      <c r="AD39" s="304"/>
      <c r="AE39" s="304"/>
      <c r="AF39" s="304"/>
      <c r="AG39" s="304"/>
      <c r="AH39" s="304"/>
      <c r="AI39" s="304"/>
      <c r="AJ39" s="304"/>
      <c r="AK39" s="304"/>
      <c r="AL39" s="311"/>
      <c r="AM39" s="89"/>
    </row>
    <row r="40" spans="1:39" x14ac:dyDescent="0.2">
      <c r="A40" s="560" t="s">
        <v>230</v>
      </c>
      <c r="B40" s="311"/>
      <c r="C40" s="538"/>
      <c r="D40" s="366"/>
      <c r="E40" s="366"/>
      <c r="F40" s="366"/>
      <c r="G40" s="366"/>
      <c r="H40" s="366"/>
      <c r="I40" s="366"/>
      <c r="J40" s="366"/>
      <c r="K40" s="366"/>
      <c r="L40" s="366">
        <f>+'7 Balance Inicial'!E17</f>
        <v>0</v>
      </c>
      <c r="M40" s="366"/>
      <c r="N40" s="366"/>
      <c r="O40" s="372">
        <f t="shared" si="12"/>
        <v>0</v>
      </c>
      <c r="P40" s="548"/>
      <c r="Q40" s="304"/>
      <c r="R40" s="304"/>
      <c r="S40" s="304"/>
      <c r="T40" s="304"/>
      <c r="U40" s="304"/>
      <c r="V40" s="304"/>
      <c r="W40" s="304"/>
      <c r="X40" s="304"/>
      <c r="Y40" s="304"/>
      <c r="Z40" s="304"/>
      <c r="AA40" s="304"/>
      <c r="AB40" s="310"/>
      <c r="AC40" s="303">
        <f t="shared" si="13"/>
        <v>0</v>
      </c>
      <c r="AD40" s="304"/>
      <c r="AE40" s="304"/>
      <c r="AF40" s="304"/>
      <c r="AG40" s="304"/>
      <c r="AH40" s="304"/>
      <c r="AI40" s="304"/>
      <c r="AJ40" s="304"/>
      <c r="AK40" s="304"/>
      <c r="AL40" s="311"/>
      <c r="AM40" s="89"/>
    </row>
    <row r="41" spans="1:39" x14ac:dyDescent="0.2">
      <c r="A41" s="560" t="s">
        <v>89</v>
      </c>
      <c r="B41" s="311"/>
      <c r="C41" s="538"/>
      <c r="D41" s="366"/>
      <c r="E41" s="366"/>
      <c r="F41" s="366"/>
      <c r="G41" s="366"/>
      <c r="H41" s="366"/>
      <c r="I41" s="366"/>
      <c r="J41" s="366"/>
      <c r="K41" s="366"/>
      <c r="L41" s="366">
        <f>+'7 Balance Inicial'!E18</f>
        <v>0</v>
      </c>
      <c r="M41" s="366"/>
      <c r="N41" s="366"/>
      <c r="O41" s="372">
        <f t="shared" si="12"/>
        <v>0</v>
      </c>
      <c r="P41" s="548"/>
      <c r="Q41" s="304"/>
      <c r="R41" s="304"/>
      <c r="S41" s="304"/>
      <c r="T41" s="304"/>
      <c r="U41" s="304"/>
      <c r="V41" s="304"/>
      <c r="W41" s="304"/>
      <c r="X41" s="304"/>
      <c r="Y41" s="304"/>
      <c r="Z41" s="304"/>
      <c r="AA41" s="304"/>
      <c r="AB41" s="310"/>
      <c r="AC41" s="303">
        <f t="shared" si="13"/>
        <v>0</v>
      </c>
      <c r="AD41" s="304"/>
      <c r="AE41" s="304"/>
      <c r="AF41" s="304"/>
      <c r="AG41" s="304"/>
      <c r="AH41" s="304"/>
      <c r="AI41" s="304"/>
      <c r="AJ41" s="304"/>
      <c r="AK41" s="304"/>
      <c r="AL41" s="311"/>
      <c r="AM41" s="89"/>
    </row>
    <row r="42" spans="1:39" x14ac:dyDescent="0.2">
      <c r="A42" s="560" t="s">
        <v>90</v>
      </c>
      <c r="B42" s="311"/>
      <c r="C42" s="538"/>
      <c r="D42" s="366"/>
      <c r="E42" s="366"/>
      <c r="F42" s="366"/>
      <c r="G42" s="366"/>
      <c r="H42" s="366"/>
      <c r="I42" s="366"/>
      <c r="J42" s="366"/>
      <c r="K42" s="366"/>
      <c r="L42" s="366"/>
      <c r="M42" s="366"/>
      <c r="N42" s="366"/>
      <c r="O42" s="372">
        <f t="shared" si="12"/>
        <v>0</v>
      </c>
      <c r="P42" s="366"/>
      <c r="Q42" s="304"/>
      <c r="R42" s="304"/>
      <c r="S42" s="304"/>
      <c r="T42" s="304"/>
      <c r="U42" s="304"/>
      <c r="V42" s="304"/>
      <c r="W42" s="304"/>
      <c r="X42" s="304"/>
      <c r="Y42" s="304"/>
      <c r="Z42" s="304"/>
      <c r="AA42" s="304"/>
      <c r="AB42" s="310"/>
      <c r="AC42" s="303">
        <f t="shared" si="13"/>
        <v>0</v>
      </c>
      <c r="AD42" s="304"/>
      <c r="AE42" s="304"/>
      <c r="AF42" s="304"/>
      <c r="AG42" s="304"/>
      <c r="AH42" s="304"/>
      <c r="AI42" s="304"/>
      <c r="AJ42" s="304"/>
      <c r="AK42" s="304"/>
      <c r="AL42" s="311"/>
      <c r="AM42" s="89"/>
    </row>
    <row r="43" spans="1:39" x14ac:dyDescent="0.2">
      <c r="A43" s="303"/>
      <c r="B43" s="311"/>
      <c r="C43" s="538"/>
      <c r="D43" s="366"/>
      <c r="E43" s="366"/>
      <c r="F43" s="366"/>
      <c r="G43" s="366"/>
      <c r="H43" s="366"/>
      <c r="I43" s="366"/>
      <c r="J43" s="366"/>
      <c r="K43" s="366"/>
      <c r="L43" s="366"/>
      <c r="M43" s="366"/>
      <c r="N43" s="366"/>
      <c r="O43" s="372"/>
      <c r="P43" s="548"/>
      <c r="Q43" s="304"/>
      <c r="R43" s="304"/>
      <c r="S43" s="304"/>
      <c r="T43" s="304"/>
      <c r="U43" s="304"/>
      <c r="V43" s="304"/>
      <c r="W43" s="304"/>
      <c r="X43" s="304"/>
      <c r="Y43" s="304"/>
      <c r="Z43" s="304"/>
      <c r="AA43" s="304"/>
      <c r="AB43" s="310"/>
      <c r="AC43" s="303">
        <f t="shared" si="13"/>
        <v>0</v>
      </c>
      <c r="AD43" s="304"/>
      <c r="AE43" s="304"/>
      <c r="AF43" s="304"/>
      <c r="AG43" s="304"/>
      <c r="AH43" s="304"/>
      <c r="AI43" s="304"/>
      <c r="AJ43" s="304"/>
      <c r="AK43" s="304"/>
      <c r="AL43" s="311"/>
      <c r="AM43" s="89"/>
    </row>
    <row r="44" spans="1:39" x14ac:dyDescent="0.2">
      <c r="A44" s="303"/>
      <c r="B44" s="311"/>
      <c r="C44" s="538"/>
      <c r="D44" s="366"/>
      <c r="E44" s="366"/>
      <c r="F44" s="366"/>
      <c r="G44" s="366"/>
      <c r="H44" s="366"/>
      <c r="I44" s="366"/>
      <c r="J44" s="366"/>
      <c r="K44" s="366"/>
      <c r="L44" s="366"/>
      <c r="M44" s="366"/>
      <c r="N44" s="366"/>
      <c r="O44" s="372"/>
      <c r="P44" s="548"/>
      <c r="Q44" s="304"/>
      <c r="R44" s="304"/>
      <c r="S44" s="304"/>
      <c r="T44" s="304"/>
      <c r="U44" s="304"/>
      <c r="V44" s="304"/>
      <c r="W44" s="304"/>
      <c r="X44" s="304"/>
      <c r="Y44" s="304"/>
      <c r="Z44" s="304"/>
      <c r="AA44" s="304"/>
      <c r="AB44" s="310"/>
      <c r="AC44" s="303"/>
      <c r="AD44" s="304"/>
      <c r="AE44" s="304"/>
      <c r="AF44" s="304"/>
      <c r="AG44" s="304"/>
      <c r="AH44" s="304"/>
      <c r="AI44" s="304"/>
      <c r="AJ44" s="304"/>
      <c r="AK44" s="304"/>
      <c r="AL44" s="311"/>
      <c r="AM44" s="89"/>
    </row>
    <row r="45" spans="1:39" x14ac:dyDescent="0.2">
      <c r="A45" s="303" t="s">
        <v>284</v>
      </c>
      <c r="B45" s="311"/>
      <c r="C45" s="538">
        <f>+'4 Estado de Resultados'!D21</f>
        <v>0</v>
      </c>
      <c r="D45" s="366">
        <f>+'4 Estado de Resultados'!E21</f>
        <v>0</v>
      </c>
      <c r="E45" s="366">
        <f>+'4 Estado de Resultados'!F21</f>
        <v>0</v>
      </c>
      <c r="F45" s="366">
        <f>+'4 Estado de Resultados'!G21</f>
        <v>1000</v>
      </c>
      <c r="G45" s="366">
        <f>+'4 Estado de Resultados'!H21</f>
        <v>1000</v>
      </c>
      <c r="H45" s="366">
        <f>+'4 Estado de Resultados'!I21</f>
        <v>1500</v>
      </c>
      <c r="I45" s="366">
        <f>+'4 Estado de Resultados'!J21</f>
        <v>1500</v>
      </c>
      <c r="J45" s="366">
        <f>+'4 Estado de Resultados'!K21</f>
        <v>1500</v>
      </c>
      <c r="K45" s="366">
        <f>+'4 Estado de Resultados'!L21</f>
        <v>1500</v>
      </c>
      <c r="L45" s="366">
        <f>+'4 Estado de Resultados'!M21</f>
        <v>1484.8484848484848</v>
      </c>
      <c r="M45" s="366">
        <f>+'4 Estado de Resultados'!N21</f>
        <v>1451.1784511784513</v>
      </c>
      <c r="N45" s="366">
        <f>+'4 Estado de Resultados'!O21</f>
        <v>1417.5084175084176</v>
      </c>
      <c r="O45" s="372">
        <f>+'4 Estado de Resultados'!P21</f>
        <v>12353.535353535355</v>
      </c>
      <c r="P45" s="548">
        <f>+'4 Estado de Resultados'!Q21</f>
        <v>1383.8383838383838</v>
      </c>
      <c r="Q45" s="304">
        <f>+'4 Estado de Resultados'!R21</f>
        <v>1350.1683501683501</v>
      </c>
      <c r="R45" s="304">
        <f>+'4 Estado de Resultados'!S21</f>
        <v>1316.4983164983164</v>
      </c>
      <c r="S45" s="304">
        <f>+'4 Estado de Resultados'!T21</f>
        <v>1282.8282828282829</v>
      </c>
      <c r="T45" s="304">
        <f>+'4 Estado de Resultados'!U21</f>
        <v>1249.158249158249</v>
      </c>
      <c r="U45" s="304">
        <f>+'4 Estado de Resultados'!V21</f>
        <v>1215.4882154882155</v>
      </c>
      <c r="V45" s="304">
        <f>+'4 Estado de Resultados'!W21</f>
        <v>1181.818181818182</v>
      </c>
      <c r="W45" s="304">
        <f>+'4 Estado de Resultados'!X21</f>
        <v>1148.1481481481483</v>
      </c>
      <c r="X45" s="304">
        <f>+'4 Estado de Resultados'!Y21</f>
        <v>1114.4781144781145</v>
      </c>
      <c r="Y45" s="304">
        <f>+'4 Estado de Resultados'!Z21</f>
        <v>1080.8080808080808</v>
      </c>
      <c r="Z45" s="304">
        <f>+'4 Estado de Resultados'!AA21</f>
        <v>1047.1380471380471</v>
      </c>
      <c r="AA45" s="304">
        <f>+'4 Estado de Resultados'!AB21</f>
        <v>1013.4680134680134</v>
      </c>
      <c r="AB45" s="310">
        <f>+'4 Estado de Resultados'!AC21</f>
        <v>14383.838383838385</v>
      </c>
      <c r="AC45" s="303">
        <f>+'4 Estado de Resultados'!AD21</f>
        <v>12353.535353535355</v>
      </c>
      <c r="AD45" s="304">
        <f>+'4 Estado de Resultados'!AE21</f>
        <v>14383.838383838385</v>
      </c>
      <c r="AE45" s="304">
        <f>+'4 Estado de Resultados'!AF21</f>
        <v>9535.3535353535335</v>
      </c>
      <c r="AF45" s="304">
        <f>+'4 Estado de Resultados'!AG21</f>
        <v>5005.0505050504962</v>
      </c>
      <c r="AG45" s="304">
        <f>+'4 Estado de Resultados'!AH21</f>
        <v>2111.1111111111031</v>
      </c>
      <c r="AH45" s="304">
        <f>+'4 Estado de Resultados'!AI21</f>
        <v>111.11111111110911</v>
      </c>
      <c r="AI45" s="304">
        <f>+'4 Estado de Resultados'!AJ21</f>
        <v>0</v>
      </c>
      <c r="AJ45" s="304">
        <f>+'4 Estado de Resultados'!AK21</f>
        <v>0</v>
      </c>
      <c r="AK45" s="304">
        <f>+'4 Estado de Resultados'!AL21</f>
        <v>0</v>
      </c>
      <c r="AL45" s="304">
        <f>+'4 Estado de Resultados'!AM21</f>
        <v>0</v>
      </c>
      <c r="AM45" s="89"/>
    </row>
    <row r="46" spans="1:39" x14ac:dyDescent="0.2">
      <c r="A46" s="303" t="s">
        <v>285</v>
      </c>
      <c r="B46" s="311"/>
      <c r="C46" s="538">
        <f>+'15 Crédito Refaccionario'!B10+'16 Crédito de Avio'!B10</f>
        <v>0</v>
      </c>
      <c r="D46" s="366">
        <f>+'15 Crédito Refaccionario'!C10+'16 Crédito de Avio'!C10</f>
        <v>0</v>
      </c>
      <c r="E46" s="366">
        <f>+'15 Crédito Refaccionario'!D10+'16 Crédito de Avio'!D10</f>
        <v>0</v>
      </c>
      <c r="F46" s="366">
        <f>+'15 Crédito Refaccionario'!E10+'16 Crédito de Avio'!E10</f>
        <v>0</v>
      </c>
      <c r="G46" s="366">
        <f>+'15 Crédito Refaccionario'!F10+'16 Crédito de Avio'!F10</f>
        <v>0</v>
      </c>
      <c r="H46" s="366">
        <f>+'15 Crédito Refaccionario'!G10+'16 Crédito de Avio'!G10</f>
        <v>0</v>
      </c>
      <c r="I46" s="366">
        <f>+'15 Crédito Refaccionario'!H10+'16 Crédito de Avio'!H10</f>
        <v>0</v>
      </c>
      <c r="J46" s="366">
        <f>+'15 Crédito Refaccionario'!I10+'16 Crédito de Avio'!I10</f>
        <v>0</v>
      </c>
      <c r="K46" s="366">
        <f>+'15 Crédito Refaccionario'!J10+'16 Crédito de Avio'!J10</f>
        <v>1515.1515151515152</v>
      </c>
      <c r="L46" s="366">
        <f>+'15 Crédito Refaccionario'!K10+'16 Crédito de Avio'!K10</f>
        <v>3367.0033670033672</v>
      </c>
      <c r="M46" s="366">
        <f>+'15 Crédito Refaccionario'!L10+'16 Crédito de Avio'!L10</f>
        <v>3367.0033670033672</v>
      </c>
      <c r="N46" s="366">
        <f>+'15 Crédito Refaccionario'!M10+'16 Crédito de Avio'!M10</f>
        <v>3367.0033670033672</v>
      </c>
      <c r="O46" s="372">
        <f>+'15 Crédito Refaccionario'!N10+'16 Crédito de Avio'!N10</f>
        <v>11616.161616161617</v>
      </c>
      <c r="P46" s="548">
        <f>+'15 Crédito Refaccionario'!O10+'16 Crédito de Avio'!O10</f>
        <v>3367.0033670033672</v>
      </c>
      <c r="Q46" s="304">
        <f>+'15 Crédito Refaccionario'!P10+'16 Crédito de Avio'!P10</f>
        <v>3367.0033670033672</v>
      </c>
      <c r="R46" s="304">
        <f>+'15 Crédito Refaccionario'!Q10+'16 Crédito de Avio'!Q10</f>
        <v>3367.0033670033672</v>
      </c>
      <c r="S46" s="304">
        <f>+'15 Crédito Refaccionario'!R10+'16 Crédito de Avio'!R10</f>
        <v>3367.0033670033672</v>
      </c>
      <c r="T46" s="304">
        <f>+'15 Crédito Refaccionario'!S10+'16 Crédito de Avio'!S10</f>
        <v>3367.0033670033672</v>
      </c>
      <c r="U46" s="304">
        <f>+'15 Crédito Refaccionario'!T10+'16 Crédito de Avio'!T10</f>
        <v>3367.0033670033672</v>
      </c>
      <c r="V46" s="304">
        <f>+'15 Crédito Refaccionario'!U10+'16 Crédito de Avio'!U10</f>
        <v>3367.0033670033672</v>
      </c>
      <c r="W46" s="304">
        <f>+'15 Crédito Refaccionario'!V10+'16 Crédito de Avio'!V10</f>
        <v>3367.0033670033672</v>
      </c>
      <c r="X46" s="304">
        <f>+'15 Crédito Refaccionario'!W10+'16 Crédito de Avio'!W10</f>
        <v>3367.0033670033672</v>
      </c>
      <c r="Y46" s="304">
        <f>+'15 Crédito Refaccionario'!X10+'16 Crédito de Avio'!X10</f>
        <v>3367.0033670033672</v>
      </c>
      <c r="Z46" s="304">
        <f>+'15 Crédito Refaccionario'!Y10+'16 Crédito de Avio'!Y10</f>
        <v>3367.0033670033672</v>
      </c>
      <c r="AA46" s="304">
        <f>+'15 Crédito Refaccionario'!Z10+'16 Crédito de Avio'!Z10</f>
        <v>3367.0033670033672</v>
      </c>
      <c r="AB46" s="310">
        <f>+'15 Crédito Refaccionario'!AA10+'16 Crédito de Avio'!AA10</f>
        <v>40404.04040404041</v>
      </c>
      <c r="AC46" s="303">
        <f>+'15 Crédito Refaccionario'!AB10+'16 Crédito de Avio'!AB10</f>
        <v>11616.161616161617</v>
      </c>
      <c r="AD46" s="304">
        <f>+'15 Crédito Refaccionario'!AC10+'16 Crédito de Avio'!AC10</f>
        <v>40404.04040404041</v>
      </c>
      <c r="AE46" s="304">
        <f>+'15 Crédito Refaccionario'!AD10+'16 Crédito de Avio'!AD10</f>
        <v>40404.04040404041</v>
      </c>
      <c r="AF46" s="304">
        <f>+'15 Crédito Refaccionario'!AE10+'16 Crédito de Avio'!AE10</f>
        <v>29797.979797979795</v>
      </c>
      <c r="AG46" s="304">
        <f>+'15 Crédito Refaccionario'!AF10+'16 Crédito de Avio'!AF10</f>
        <v>22222.222222222219</v>
      </c>
      <c r="AH46" s="304">
        <f>+'15 Crédito Refaccionario'!AG10+'16 Crédito de Avio'!AG10</f>
        <v>5555.5555555555557</v>
      </c>
      <c r="AI46" s="304">
        <f>+'15 Crédito Refaccionario'!AH10+'16 Crédito de Avio'!AH10</f>
        <v>0</v>
      </c>
      <c r="AJ46" s="304">
        <f>+'15 Crédito Refaccionario'!AI10+'16 Crédito de Avio'!AI10</f>
        <v>0</v>
      </c>
      <c r="AK46" s="304">
        <f>+'15 Crédito Refaccionario'!AJ10+'16 Crédito de Avio'!AJ10</f>
        <v>0</v>
      </c>
      <c r="AL46" s="304">
        <f>+'15 Crédito Refaccionario'!AK10+'16 Crédito de Avio'!AK10</f>
        <v>0</v>
      </c>
      <c r="AM46" s="89"/>
    </row>
    <row r="47" spans="1:39" x14ac:dyDescent="0.2">
      <c r="A47" s="303" t="s">
        <v>53</v>
      </c>
      <c r="B47" s="311"/>
      <c r="C47" s="538">
        <f>+'4 Estado de Resultados'!D24</f>
        <v>0</v>
      </c>
      <c r="D47" s="366">
        <f>+'4 Estado de Resultados'!E24</f>
        <v>0</v>
      </c>
      <c r="E47" s="366">
        <f>+'4 Estado de Resultados'!F24</f>
        <v>0</v>
      </c>
      <c r="F47" s="366">
        <f>+'4 Estado de Resultados'!G24</f>
        <v>0</v>
      </c>
      <c r="G47" s="366">
        <f>+'4 Estado de Resultados'!H24</f>
        <v>0</v>
      </c>
      <c r="H47" s="366">
        <f>+'4 Estado de Resultados'!I24</f>
        <v>86615.411956262396</v>
      </c>
      <c r="I47" s="366">
        <f>+'4 Estado de Resultados'!J24</f>
        <v>67730.212651894733</v>
      </c>
      <c r="J47" s="366">
        <f>+'4 Estado de Resultados'!K24</f>
        <v>50114.355095035848</v>
      </c>
      <c r="K47" s="366">
        <f>+'4 Estado de Resultados'!L24</f>
        <v>64780.912495051612</v>
      </c>
      <c r="L47" s="366">
        <f>+'4 Estado de Resultados'!M24</f>
        <v>180164.95972426955</v>
      </c>
      <c r="M47" s="366">
        <f>+'4 Estado de Resultados'!N24</f>
        <v>248461.10318193701</v>
      </c>
      <c r="N47" s="366">
        <f>+'4 Estado de Resultados'!O24</f>
        <v>322627.68928948825</v>
      </c>
      <c r="O47" s="372">
        <f>+'4 Estado de Resultados'!P41</f>
        <v>1020494.6443939394</v>
      </c>
      <c r="P47" s="548">
        <f>+'4 Estado de Resultados'!Q24</f>
        <v>73646.339484848519</v>
      </c>
      <c r="Q47" s="304">
        <f>+'4 Estado de Resultados'!R24</f>
        <v>172334.87949494956</v>
      </c>
      <c r="R47" s="304">
        <f>+'4 Estado de Resultados'!S24</f>
        <v>166266.15325505057</v>
      </c>
      <c r="S47" s="304">
        <f>+'4 Estado de Resultados'!T24</f>
        <v>169972.14101515154</v>
      </c>
      <c r="T47" s="304">
        <f>+'4 Estado de Resultados'!U24</f>
        <v>249662.9845252526</v>
      </c>
      <c r="U47" s="304">
        <f>+'4 Estado de Resultados'!V24</f>
        <v>126961.94353535358</v>
      </c>
      <c r="V47" s="304">
        <f>+'4 Estado de Resultados'!W24</f>
        <v>97795.660045454584</v>
      </c>
      <c r="W47" s="304">
        <f>+'4 Estado de Resultados'!X24</f>
        <v>68430.296555555586</v>
      </c>
      <c r="X47" s="304">
        <f>+'4 Estado de Resultados'!Y24</f>
        <v>88861.607565656595</v>
      </c>
      <c r="Y47" s="304">
        <f>+'4 Estado de Resultados'!Z24</f>
        <v>248520.9895757577</v>
      </c>
      <c r="Z47" s="304">
        <f>+'4 Estado de Resultados'!AA24</f>
        <v>342290.39958585874</v>
      </c>
      <c r="AA47" s="304">
        <f>+'4 Estado de Resultados'!AB24</f>
        <v>445026.93259595963</v>
      </c>
      <c r="AB47" s="310">
        <f>+'4 Estado de Resultados'!AC41</f>
        <v>2249770.3272348489</v>
      </c>
      <c r="AC47" s="303">
        <f>+'4 Estado de Resultados'!AD24</f>
        <v>1020494.6443939394</v>
      </c>
      <c r="AD47" s="304">
        <f>+'4 Estado de Resultados'!AE24</f>
        <v>2249770.3272348479</v>
      </c>
      <c r="AE47" s="304">
        <f>+'4 Estado de Resultados'!AF24</f>
        <v>2530119.1955143944</v>
      </c>
      <c r="AF47" s="304">
        <f>+'4 Estado de Resultados'!AG24</f>
        <v>2831658.8096279851</v>
      </c>
      <c r="AG47" s="304">
        <f>+'4 Estado de Resultados'!AH24</f>
        <v>3164532.2418899364</v>
      </c>
      <c r="AH47" s="304">
        <f>+'4 Estado de Resultados'!AI24</f>
        <v>3540570.3754075179</v>
      </c>
      <c r="AI47" s="304">
        <f>+'4 Estado de Resultados'!AJ24</f>
        <v>3867407.6207272504</v>
      </c>
      <c r="AJ47" s="304">
        <f>+'4 Estado de Resultados'!AK24</f>
        <v>4231172.0754562588</v>
      </c>
      <c r="AK47" s="304">
        <f>+'4 Estado de Resultados'!AL24</f>
        <v>4656417.9692273922</v>
      </c>
      <c r="AL47" s="311">
        <f>+'4 Estado de Resultados'!AM24</f>
        <v>5084407.5655008079</v>
      </c>
      <c r="AM47" s="89"/>
    </row>
    <row r="48" spans="1:39" x14ac:dyDescent="0.2">
      <c r="A48" s="303" t="s">
        <v>54</v>
      </c>
      <c r="B48" s="311"/>
      <c r="C48" s="538"/>
      <c r="D48" s="366"/>
      <c r="E48" s="366"/>
      <c r="F48" s="366"/>
      <c r="G48" s="366"/>
      <c r="H48" s="366"/>
      <c r="I48" s="366"/>
      <c r="J48" s="366"/>
      <c r="K48" s="366"/>
      <c r="L48" s="366"/>
      <c r="M48" s="366"/>
      <c r="N48" s="366"/>
      <c r="O48" s="372">
        <f>SUM(C48:N48)</f>
        <v>0</v>
      </c>
      <c r="P48" s="548"/>
      <c r="Q48" s="304"/>
      <c r="R48" s="304"/>
      <c r="S48" s="304">
        <f>+'4 Estado de Resultados'!P25</f>
        <v>340164.88146464649</v>
      </c>
      <c r="T48" s="304"/>
      <c r="U48" s="304"/>
      <c r="V48" s="304"/>
      <c r="W48" s="304"/>
      <c r="X48" s="304"/>
      <c r="Y48" s="304"/>
      <c r="Z48" s="304"/>
      <c r="AA48" s="304"/>
      <c r="AB48" s="310">
        <f>SUM(P48:AA48)</f>
        <v>340164.88146464649</v>
      </c>
      <c r="AC48" s="303"/>
      <c r="AD48" s="304">
        <f>+'4 Estado de Resultados'!AD25</f>
        <v>340164.88146464649</v>
      </c>
      <c r="AE48" s="304">
        <f>+'4 Estado de Resultados'!AE25</f>
        <v>749923.4424116161</v>
      </c>
      <c r="AF48" s="304">
        <f>+'4 Estado de Resultados'!AF25</f>
        <v>843373.06517146493</v>
      </c>
      <c r="AG48" s="304">
        <f>+'4 Estado de Resultados'!AG25</f>
        <v>943886.26987599512</v>
      </c>
      <c r="AH48" s="304">
        <f>+'4 Estado de Resultados'!AH25</f>
        <v>1054844.080629979</v>
      </c>
      <c r="AI48" s="304">
        <f>+'4 Estado de Resultados'!AI25</f>
        <v>1180190.1251358395</v>
      </c>
      <c r="AJ48" s="304">
        <f>+'4 Estado de Resultados'!AJ25</f>
        <v>1289135.8735757503</v>
      </c>
      <c r="AK48" s="304">
        <f>+'4 Estado de Resultados'!AK25</f>
        <v>1410390.691818753</v>
      </c>
      <c r="AL48" s="311">
        <f>+'4 Estado de Resultados'!AL25</f>
        <v>1552139.3230757976</v>
      </c>
      <c r="AM48" s="89"/>
    </row>
    <row r="49" spans="1:39" x14ac:dyDescent="0.2">
      <c r="A49" s="303" t="s">
        <v>184</v>
      </c>
      <c r="B49" s="311"/>
      <c r="C49" s="538"/>
      <c r="D49" s="366"/>
      <c r="E49" s="366"/>
      <c r="F49" s="366"/>
      <c r="G49" s="366"/>
      <c r="H49" s="366"/>
      <c r="I49" s="366"/>
      <c r="J49" s="366"/>
      <c r="K49" s="366"/>
      <c r="L49" s="366"/>
      <c r="M49" s="366"/>
      <c r="N49" s="366"/>
      <c r="O49" s="372">
        <f>SUM(C49:N49)</f>
        <v>0</v>
      </c>
      <c r="P49" s="548"/>
      <c r="Q49" s="304"/>
      <c r="R49" s="304"/>
      <c r="S49" s="304">
        <f>+'4 Estado de Resultados'!P26</f>
        <v>249631.76232728458</v>
      </c>
      <c r="T49" s="304"/>
      <c r="U49" s="304"/>
      <c r="V49" s="304"/>
      <c r="W49" s="304"/>
      <c r="X49" s="304"/>
      <c r="Y49" s="304"/>
      <c r="Z49" s="304"/>
      <c r="AA49" s="304"/>
      <c r="AB49" s="310">
        <f>SUM(P49:AA49)</f>
        <v>249631.76232728458</v>
      </c>
      <c r="AC49" s="303"/>
      <c r="AD49" s="304">
        <f>+'4 Estado de Resultados'!AD26</f>
        <v>249631.76232728458</v>
      </c>
      <c r="AE49" s="304">
        <f>+'4 Estado de Resultados'!AE26</f>
        <v>550335.20724922896</v>
      </c>
      <c r="AF49" s="304">
        <f>+'4 Estado de Resultados'!AF26</f>
        <v>618913.69753287535</v>
      </c>
      <c r="AG49" s="304">
        <f>+'4 Estado de Resultados'!AG26</f>
        <v>692675.83405772632</v>
      </c>
      <c r="AH49" s="304">
        <f>+'4 Estado de Resultados'!AH26</f>
        <v>774102.79889675556</v>
      </c>
      <c r="AI49" s="304">
        <f>+'4 Estado de Resultados'!AI26</f>
        <v>866088.64369068446</v>
      </c>
      <c r="AJ49" s="304">
        <f>+'4 Estado de Resultados'!AJ26</f>
        <v>0</v>
      </c>
      <c r="AK49" s="304">
        <f>+'4 Estado de Resultados'!AK26</f>
        <v>0</v>
      </c>
      <c r="AL49" s="304">
        <f>+'4 Estado de Resultados'!AL26</f>
        <v>0</v>
      </c>
      <c r="AM49" s="89"/>
    </row>
    <row r="50" spans="1:39" x14ac:dyDescent="0.2">
      <c r="A50" s="303" t="s">
        <v>222</v>
      </c>
      <c r="B50" s="311"/>
      <c r="C50" s="538"/>
      <c r="D50" s="366"/>
      <c r="E50" s="366"/>
      <c r="F50" s="366"/>
      <c r="G50" s="366"/>
      <c r="H50" s="366"/>
      <c r="I50" s="366"/>
      <c r="J50" s="366"/>
      <c r="K50" s="366"/>
      <c r="L50" s="366"/>
      <c r="M50" s="366"/>
      <c r="N50" s="366"/>
      <c r="O50" s="372"/>
      <c r="P50" s="548"/>
      <c r="Q50" s="304"/>
      <c r="R50" s="304"/>
      <c r="S50" s="304"/>
      <c r="T50" s="304"/>
      <c r="U50" s="304"/>
      <c r="V50" s="304"/>
      <c r="W50" s="304"/>
      <c r="X50" s="304"/>
      <c r="Y50" s="304"/>
      <c r="Z50" s="304"/>
      <c r="AA50" s="304"/>
      <c r="AB50" s="310"/>
      <c r="AC50" s="304">
        <f>IF(AC10='4 Estado de Resultados'!$D$48-1,'4 Estado de Resultados'!$C$46,0)</f>
        <v>0</v>
      </c>
      <c r="AD50" s="304">
        <f>IF(AD10='4 Estado de Resultados'!$D$48-1,'4 Estado de Resultados'!$C$46,0)</f>
        <v>0</v>
      </c>
      <c r="AE50" s="304">
        <f>IF(AE10='4 Estado de Resultados'!$D$48-1,'4 Estado de Resultados'!$C$46,0)</f>
        <v>0</v>
      </c>
      <c r="AF50" s="304">
        <f>IF(AF10='4 Estado de Resultados'!$D$48-1,'4 Estado de Resultados'!$C$46,0)</f>
        <v>0</v>
      </c>
      <c r="AG50" s="304">
        <f>IF(AG10='4 Estado de Resultados'!$D$48,'4 Estado de Resultados'!$C$46,0)</f>
        <v>0</v>
      </c>
      <c r="AH50" s="304">
        <f>IF(AH10='4 Estado de Resultados'!$D$48,'4 Estado de Resultados'!$C$46,0)</f>
        <v>150000</v>
      </c>
      <c r="AI50" s="304">
        <f>IF(AI10='4 Estado de Resultados'!$D$48-1,'4 Estado de Resultados'!$C$46,0)</f>
        <v>0</v>
      </c>
      <c r="AJ50" s="304">
        <f>IF(AJ10='4 Estado de Resultados'!$D$48-1,'4 Estado de Resultados'!$C$46,0)</f>
        <v>0</v>
      </c>
      <c r="AK50" s="304">
        <f>IF(AK10='4 Estado de Resultados'!$D$48-1,'4 Estado de Resultados'!$C$46,0)</f>
        <v>0</v>
      </c>
      <c r="AL50" s="304">
        <f>IF(AL10='4 Estado de Resultados'!$D$48-1,'4 Estado de Resultados'!$C$46,0)</f>
        <v>0</v>
      </c>
      <c r="AM50" s="89"/>
    </row>
    <row r="51" spans="1:39" x14ac:dyDescent="0.2">
      <c r="A51" s="303"/>
      <c r="B51" s="311"/>
      <c r="C51" s="538"/>
      <c r="D51" s="366"/>
      <c r="E51" s="366"/>
      <c r="F51" s="366"/>
      <c r="G51" s="366"/>
      <c r="H51" s="366"/>
      <c r="I51" s="366"/>
      <c r="J51" s="366"/>
      <c r="K51" s="366"/>
      <c r="L51" s="366"/>
      <c r="M51" s="366"/>
      <c r="N51" s="366"/>
      <c r="O51" s="372"/>
      <c r="P51" s="548"/>
      <c r="Q51" s="304"/>
      <c r="R51" s="304"/>
      <c r="S51" s="304"/>
      <c r="T51" s="304"/>
      <c r="U51" s="304"/>
      <c r="V51" s="304"/>
      <c r="W51" s="304"/>
      <c r="X51" s="304"/>
      <c r="Y51" s="304"/>
      <c r="Z51" s="304"/>
      <c r="AA51" s="304"/>
      <c r="AB51" s="310"/>
      <c r="AC51" s="303"/>
      <c r="AD51" s="304"/>
      <c r="AE51" s="304"/>
      <c r="AF51" s="304"/>
      <c r="AG51" s="304"/>
      <c r="AH51" s="304"/>
      <c r="AI51" s="304"/>
      <c r="AJ51" s="304"/>
      <c r="AK51" s="304"/>
      <c r="AL51" s="311"/>
      <c r="AM51" s="89"/>
    </row>
    <row r="52" spans="1:39" ht="15.75" customHeight="1" thickBot="1" x14ac:dyDescent="0.25">
      <c r="A52" s="561" t="s">
        <v>16</v>
      </c>
      <c r="B52" s="544">
        <f>SUM(B24:B51)</f>
        <v>1324000</v>
      </c>
      <c r="C52" s="545">
        <f>SUM(C23:C51)</f>
        <v>0</v>
      </c>
      <c r="D52" s="375">
        <f>SUM(D23:D51)</f>
        <v>0</v>
      </c>
      <c r="E52" s="375">
        <f t="shared" ref="E52:N52" si="14">SUM(E23:E51)</f>
        <v>973649</v>
      </c>
      <c r="F52" s="375">
        <f t="shared" si="14"/>
        <v>225674</v>
      </c>
      <c r="G52" s="375">
        <f t="shared" si="14"/>
        <v>398355</v>
      </c>
      <c r="H52" s="375">
        <f t="shared" si="14"/>
        <v>998652.41195626243</v>
      </c>
      <c r="I52" s="375">
        <f t="shared" si="14"/>
        <v>936645.06265189475</v>
      </c>
      <c r="J52" s="375">
        <f t="shared" si="14"/>
        <v>828116.65509503591</v>
      </c>
      <c r="K52" s="375">
        <f t="shared" si="14"/>
        <v>910379.56401020312</v>
      </c>
      <c r="L52" s="375">
        <f t="shared" si="14"/>
        <v>1405116.4115761213</v>
      </c>
      <c r="M52" s="375">
        <f t="shared" si="14"/>
        <v>1601869.7850001187</v>
      </c>
      <c r="N52" s="375">
        <f t="shared" si="14"/>
        <v>2014234.1010739999</v>
      </c>
      <c r="O52" s="375">
        <f>SUM(O23:O51)</f>
        <v>10292691.991363637</v>
      </c>
      <c r="P52" s="562">
        <f>SUM(P23:P51)</f>
        <v>4447951.544569023</v>
      </c>
      <c r="Q52" s="546">
        <f t="shared" ref="Q52:AH52" si="15">SUM(Q23:Q51)</f>
        <v>1236732.2845454544</v>
      </c>
      <c r="R52" s="546">
        <f t="shared" si="15"/>
        <v>1335587.1457718853</v>
      </c>
      <c r="S52" s="546">
        <f t="shared" si="15"/>
        <v>1861246.9847902474</v>
      </c>
      <c r="T52" s="546">
        <f t="shared" si="15"/>
        <v>1593672.0394747474</v>
      </c>
      <c r="U52" s="546">
        <f t="shared" si="15"/>
        <v>1108962.4684511786</v>
      </c>
      <c r="V52" s="546">
        <f t="shared" si="15"/>
        <v>1042674.1299276097</v>
      </c>
      <c r="W52" s="546">
        <f t="shared" si="15"/>
        <v>930122.31140404055</v>
      </c>
      <c r="X52" s="546">
        <f t="shared" si="15"/>
        <v>1022633.2523804714</v>
      </c>
      <c r="Y52" s="546">
        <f t="shared" si="15"/>
        <v>1596336.6943569023</v>
      </c>
      <c r="Z52" s="546">
        <f t="shared" si="15"/>
        <v>1833139.4043333333</v>
      </c>
      <c r="AA52" s="546">
        <f t="shared" si="15"/>
        <v>2404248.8273097649</v>
      </c>
      <c r="AB52" s="748">
        <f t="shared" si="15"/>
        <v>20413307.087314658</v>
      </c>
      <c r="AC52" s="543">
        <f t="shared" si="15"/>
        <v>10292691.991363637</v>
      </c>
      <c r="AD52" s="546">
        <f t="shared" si="15"/>
        <v>20413307.087314658</v>
      </c>
      <c r="AE52" s="546">
        <f t="shared" si="15"/>
        <v>19095878.783864636</v>
      </c>
      <c r="AF52" s="546">
        <f t="shared" si="15"/>
        <v>21055191.158370357</v>
      </c>
      <c r="AG52" s="546">
        <f t="shared" si="15"/>
        <v>23070217.097246099</v>
      </c>
      <c r="AH52" s="546">
        <f t="shared" si="15"/>
        <v>24467940.201471422</v>
      </c>
      <c r="AI52" s="546">
        <f>SUM(AI23:AI51)</f>
        <v>26605157.787523478</v>
      </c>
      <c r="AJ52" s="546">
        <f>SUM(AJ23:AJ51)</f>
        <v>27512457.57526987</v>
      </c>
      <c r="AK52" s="546">
        <f>SUM(AK23:AK51)</f>
        <v>29170556.498267595</v>
      </c>
      <c r="AL52" s="544">
        <f>SUM(AL23:AL51)</f>
        <v>31973554.023658354</v>
      </c>
      <c r="AM52" s="89"/>
    </row>
    <row r="53" spans="1:39" ht="13.5" thickBot="1" x14ac:dyDescent="0.25">
      <c r="A53" s="563"/>
      <c r="B53" s="564"/>
      <c r="C53" s="563"/>
      <c r="D53" s="565"/>
      <c r="E53" s="565"/>
      <c r="F53" s="565"/>
      <c r="G53" s="565"/>
      <c r="H53" s="565"/>
      <c r="I53" s="565"/>
      <c r="J53" s="565"/>
      <c r="K53" s="565"/>
      <c r="L53" s="565"/>
      <c r="M53" s="565"/>
      <c r="N53" s="565"/>
      <c r="O53" s="564"/>
      <c r="P53" s="563"/>
      <c r="Q53" s="565"/>
      <c r="R53" s="565"/>
      <c r="S53" s="565"/>
      <c r="T53" s="565"/>
      <c r="U53" s="565"/>
      <c r="V53" s="565"/>
      <c r="W53" s="565"/>
      <c r="X53" s="565"/>
      <c r="Y53" s="565"/>
      <c r="Z53" s="565"/>
      <c r="AA53" s="565"/>
      <c r="AB53" s="564"/>
      <c r="AC53" s="563"/>
      <c r="AD53" s="565"/>
      <c r="AE53" s="565"/>
      <c r="AF53" s="565"/>
      <c r="AG53" s="565"/>
      <c r="AH53" s="565"/>
      <c r="AI53" s="565"/>
      <c r="AJ53" s="565"/>
      <c r="AK53" s="565"/>
      <c r="AL53" s="564"/>
      <c r="AM53" s="89"/>
    </row>
    <row r="54" spans="1:39" ht="15.75" customHeight="1" thickBot="1" x14ac:dyDescent="0.25">
      <c r="A54" s="566" t="s">
        <v>108</v>
      </c>
      <c r="B54" s="944">
        <f>+B19-B52</f>
        <v>570000</v>
      </c>
      <c r="C54" s="568">
        <f>+C19-C52</f>
        <v>0</v>
      </c>
      <c r="D54" s="569">
        <f t="shared" ref="D54:O54" si="16">+D19-D52</f>
        <v>570000</v>
      </c>
      <c r="E54" s="569">
        <f t="shared" si="16"/>
        <v>-280219</v>
      </c>
      <c r="F54" s="569">
        <f t="shared" si="16"/>
        <v>-482463</v>
      </c>
      <c r="G54" s="569">
        <f t="shared" si="16"/>
        <v>-807388</v>
      </c>
      <c r="H54" s="569">
        <f t="shared" si="16"/>
        <v>-358210.41195626243</v>
      </c>
      <c r="I54" s="569">
        <f t="shared" si="16"/>
        <v>-119155.47460815718</v>
      </c>
      <c r="J54" s="569">
        <f t="shared" si="16"/>
        <v>63817.870296806912</v>
      </c>
      <c r="K54" s="569">
        <f t="shared" si="16"/>
        <v>291968.30628660391</v>
      </c>
      <c r="L54" s="569">
        <f t="shared" si="16"/>
        <v>885601.8947104828</v>
      </c>
      <c r="M54" s="569">
        <f t="shared" si="16"/>
        <v>1696662.1097103644</v>
      </c>
      <c r="N54" s="569">
        <f t="shared" si="16"/>
        <v>2668838.0086363647</v>
      </c>
      <c r="O54" s="567">
        <f t="shared" si="16"/>
        <v>2668838.0086363629</v>
      </c>
      <c r="P54" s="945">
        <f t="shared" ref="P54:AF54" si="17">+P19-P52</f>
        <v>-655079.20259932661</v>
      </c>
      <c r="Q54" s="569">
        <f t="shared" si="17"/>
        <v>-218723.15381144767</v>
      </c>
      <c r="R54" s="569">
        <f t="shared" si="17"/>
        <v>203472.53375000018</v>
      </c>
      <c r="S54" s="569">
        <f t="shared" si="17"/>
        <v>44518.882293086033</v>
      </c>
      <c r="T54" s="569">
        <f t="shared" si="17"/>
        <v>661307.17615167215</v>
      </c>
      <c r="U54" s="569">
        <f t="shared" si="17"/>
        <v>991793.04103382677</v>
      </c>
      <c r="V54" s="569">
        <f t="shared" si="17"/>
        <v>1254224.2444395507</v>
      </c>
      <c r="W54" s="569">
        <f t="shared" si="17"/>
        <v>1448136.2663688436</v>
      </c>
      <c r="X54" s="569">
        <f t="shared" si="17"/>
        <v>1689721.3473217057</v>
      </c>
      <c r="Y54" s="569">
        <f t="shared" si="17"/>
        <v>2303844.9862981373</v>
      </c>
      <c r="Z54" s="569">
        <f t="shared" si="17"/>
        <v>3136763.9152981369</v>
      </c>
      <c r="AA54" s="569">
        <f t="shared" si="17"/>
        <v>4029401.421321705</v>
      </c>
      <c r="AB54" s="567">
        <f t="shared" si="17"/>
        <v>4029401.421321705</v>
      </c>
      <c r="AC54" s="568">
        <f t="shared" si="17"/>
        <v>2668838.0086363629</v>
      </c>
      <c r="AD54" s="569">
        <f t="shared" si="17"/>
        <v>4029401.421321705</v>
      </c>
      <c r="AE54" s="569">
        <f t="shared" si="17"/>
        <v>8880450.1874570735</v>
      </c>
      <c r="AF54" s="569">
        <f t="shared" si="17"/>
        <v>14191669.33408672</v>
      </c>
      <c r="AG54" s="569">
        <f t="shared" ref="AG54:AL54" si="18">+AG19-AG52</f>
        <v>20150893.572340626</v>
      </c>
      <c r="AH54" s="569">
        <f t="shared" si="18"/>
        <v>26784822.013209213</v>
      </c>
      <c r="AI54" s="569">
        <f t="shared" si="18"/>
        <v>33787594.359412938</v>
      </c>
      <c r="AJ54" s="569">
        <f t="shared" si="18"/>
        <v>42559493.328568466</v>
      </c>
      <c r="AK54" s="569">
        <f t="shared" si="18"/>
        <v>52462177.898280293</v>
      </c>
      <c r="AL54" s="567">
        <f t="shared" si="18"/>
        <v>62684756.228039727</v>
      </c>
      <c r="AM54" s="89"/>
    </row>
    <row r="55" spans="1:39" x14ac:dyDescent="0.2">
      <c r="A55" s="89"/>
      <c r="B55" s="147"/>
      <c r="C55" s="147"/>
      <c r="D55" s="147"/>
      <c r="E55" s="147"/>
      <c r="F55" s="147"/>
      <c r="G55" s="147"/>
      <c r="H55" s="147"/>
      <c r="I55" s="147"/>
      <c r="J55" s="147"/>
      <c r="K55" s="147"/>
      <c r="L55" s="147"/>
      <c r="M55" s="147"/>
      <c r="N55" s="147"/>
      <c r="O55" s="147">
        <f>+N54-O54</f>
        <v>0</v>
      </c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  <c r="AD55" s="89"/>
      <c r="AE55" s="89"/>
      <c r="AF55" s="89"/>
      <c r="AG55" s="89"/>
      <c r="AH55" s="89"/>
      <c r="AI55" s="89"/>
      <c r="AJ55" s="89"/>
      <c r="AK55" s="89"/>
      <c r="AL55" s="89"/>
      <c r="AM55" s="89"/>
    </row>
    <row r="56" spans="1:39" x14ac:dyDescent="0.2">
      <c r="A56" s="89"/>
      <c r="B56" s="89"/>
      <c r="C56" s="89"/>
      <c r="D56" s="89"/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89"/>
      <c r="AB56" s="89"/>
      <c r="AC56" s="89"/>
      <c r="AD56" s="89"/>
      <c r="AE56" s="89"/>
      <c r="AF56" s="89"/>
      <c r="AG56" s="89"/>
      <c r="AH56" s="89"/>
      <c r="AI56" s="89"/>
      <c r="AJ56" s="89"/>
      <c r="AK56" s="89"/>
      <c r="AL56" s="89"/>
      <c r="AM56" s="89"/>
    </row>
    <row r="57" spans="1:39" x14ac:dyDescent="0.2">
      <c r="A57" s="89"/>
      <c r="B57" s="89"/>
      <c r="C57" s="89">
        <f t="shared" ref="C57:N57" si="19">+C7</f>
        <v>1</v>
      </c>
      <c r="D57" s="89">
        <f t="shared" si="19"/>
        <v>2</v>
      </c>
      <c r="E57" s="89">
        <f t="shared" si="19"/>
        <v>3</v>
      </c>
      <c r="F57" s="89">
        <f t="shared" si="19"/>
        <v>4</v>
      </c>
      <c r="G57" s="89">
        <f t="shared" si="19"/>
        <v>5</v>
      </c>
      <c r="H57" s="89">
        <f t="shared" si="19"/>
        <v>6</v>
      </c>
      <c r="I57" s="89">
        <f t="shared" si="19"/>
        <v>7</v>
      </c>
      <c r="J57" s="89">
        <f t="shared" si="19"/>
        <v>8</v>
      </c>
      <c r="K57" s="89">
        <f t="shared" si="19"/>
        <v>9</v>
      </c>
      <c r="L57" s="89">
        <f t="shared" si="19"/>
        <v>10</v>
      </c>
      <c r="M57" s="89">
        <f t="shared" si="19"/>
        <v>11</v>
      </c>
      <c r="N57" s="89">
        <f t="shared" si="19"/>
        <v>12</v>
      </c>
      <c r="O57" s="89"/>
      <c r="P57" s="89">
        <f t="shared" ref="P57:AA57" si="20">+P7</f>
        <v>13</v>
      </c>
      <c r="Q57" s="89">
        <f t="shared" si="20"/>
        <v>14</v>
      </c>
      <c r="R57" s="89">
        <f t="shared" si="20"/>
        <v>15</v>
      </c>
      <c r="S57" s="89">
        <f t="shared" si="20"/>
        <v>16</v>
      </c>
      <c r="T57" s="89">
        <f t="shared" si="20"/>
        <v>17</v>
      </c>
      <c r="U57" s="89">
        <f t="shared" si="20"/>
        <v>18</v>
      </c>
      <c r="V57" s="89">
        <f t="shared" si="20"/>
        <v>19</v>
      </c>
      <c r="W57" s="89">
        <f t="shared" si="20"/>
        <v>20</v>
      </c>
      <c r="X57" s="89">
        <f t="shared" si="20"/>
        <v>21</v>
      </c>
      <c r="Y57" s="89">
        <f t="shared" si="20"/>
        <v>22</v>
      </c>
      <c r="Z57" s="89">
        <f t="shared" si="20"/>
        <v>23</v>
      </c>
      <c r="AA57" s="89">
        <f t="shared" si="20"/>
        <v>24</v>
      </c>
      <c r="AB57" s="89"/>
      <c r="AC57" s="89"/>
      <c r="AD57" s="89"/>
      <c r="AE57" s="89"/>
      <c r="AF57" s="89"/>
      <c r="AG57" s="89"/>
      <c r="AH57" s="89"/>
      <c r="AI57" s="89"/>
      <c r="AJ57" s="89"/>
      <c r="AK57" s="89"/>
      <c r="AL57" s="89"/>
      <c r="AM57" s="89"/>
    </row>
    <row r="58" spans="1:39" x14ac:dyDescent="0.2">
      <c r="A58" s="89"/>
      <c r="B58" s="89"/>
      <c r="C58" s="89">
        <f>+'19 Resumen'!$M$3</f>
        <v>3</v>
      </c>
      <c r="D58" s="89">
        <f>+'19 Resumen'!$M$3</f>
        <v>3</v>
      </c>
      <c r="E58" s="89">
        <f>+'19 Resumen'!$M$3</f>
        <v>3</v>
      </c>
      <c r="F58" s="89">
        <f>+'19 Resumen'!$M$3</f>
        <v>3</v>
      </c>
      <c r="G58" s="89">
        <f>+'19 Resumen'!$M$3</f>
        <v>3</v>
      </c>
      <c r="H58" s="89">
        <f>+'19 Resumen'!$M$3</f>
        <v>3</v>
      </c>
      <c r="I58" s="89">
        <f>+'19 Resumen'!$M$3</f>
        <v>3</v>
      </c>
      <c r="J58" s="89">
        <f>+'19 Resumen'!$M$3</f>
        <v>3</v>
      </c>
      <c r="K58" s="89">
        <f>+'19 Resumen'!$M$3</f>
        <v>3</v>
      </c>
      <c r="L58" s="89">
        <f>+'19 Resumen'!$M$3</f>
        <v>3</v>
      </c>
      <c r="M58" s="89">
        <f>+'19 Resumen'!$M$3</f>
        <v>3</v>
      </c>
      <c r="N58" s="89">
        <f>+'19 Resumen'!$M$3</f>
        <v>3</v>
      </c>
      <c r="O58" s="89"/>
      <c r="P58" s="89">
        <f>+'19 Resumen'!$M$3</f>
        <v>3</v>
      </c>
      <c r="Q58" s="89">
        <f>+'19 Resumen'!$M$3</f>
        <v>3</v>
      </c>
      <c r="R58" s="89">
        <f>+'19 Resumen'!$M$3</f>
        <v>3</v>
      </c>
      <c r="S58" s="89">
        <f>+'19 Resumen'!$M$3</f>
        <v>3</v>
      </c>
      <c r="T58" s="89">
        <f>+'19 Resumen'!$M$3</f>
        <v>3</v>
      </c>
      <c r="U58" s="89">
        <f>+'19 Resumen'!$M$3</f>
        <v>3</v>
      </c>
      <c r="V58" s="89">
        <f>+'19 Resumen'!$M$3</f>
        <v>3</v>
      </c>
      <c r="W58" s="89">
        <f>+'19 Resumen'!$M$3</f>
        <v>3</v>
      </c>
      <c r="X58" s="89">
        <f>+'19 Resumen'!$M$3</f>
        <v>3</v>
      </c>
      <c r="Y58" s="89">
        <f>+'19 Resumen'!$M$3</f>
        <v>3</v>
      </c>
      <c r="Z58" s="89">
        <f>+'19 Resumen'!$M$3</f>
        <v>3</v>
      </c>
      <c r="AA58" s="89">
        <f>+'19 Resumen'!$M$3</f>
        <v>3</v>
      </c>
      <c r="AB58" s="89"/>
      <c r="AC58" s="89"/>
      <c r="AD58" s="89"/>
      <c r="AE58" s="89"/>
      <c r="AF58" s="89"/>
      <c r="AG58" s="89"/>
      <c r="AH58" s="89"/>
      <c r="AI58" s="89"/>
      <c r="AJ58" s="89"/>
      <c r="AK58" s="89"/>
      <c r="AL58" s="89"/>
      <c r="AM58" s="89"/>
    </row>
    <row r="59" spans="1:39" x14ac:dyDescent="0.2">
      <c r="A59" s="89"/>
      <c r="B59" s="89"/>
      <c r="C59" s="89">
        <f>IF(C58&gt;C57,0,1)</f>
        <v>0</v>
      </c>
      <c r="D59" s="89">
        <f t="shared" ref="D59:N59" si="21">IF(D58&gt;D57,0,1)</f>
        <v>0</v>
      </c>
      <c r="E59" s="89">
        <f t="shared" si="21"/>
        <v>1</v>
      </c>
      <c r="F59" s="89">
        <f t="shared" si="21"/>
        <v>1</v>
      </c>
      <c r="G59" s="89">
        <f t="shared" si="21"/>
        <v>1</v>
      </c>
      <c r="H59" s="89">
        <f t="shared" si="21"/>
        <v>1</v>
      </c>
      <c r="I59" s="89">
        <f t="shared" si="21"/>
        <v>1</v>
      </c>
      <c r="J59" s="89">
        <f t="shared" si="21"/>
        <v>1</v>
      </c>
      <c r="K59" s="89">
        <f t="shared" si="21"/>
        <v>1</v>
      </c>
      <c r="L59" s="89">
        <f t="shared" si="21"/>
        <v>1</v>
      </c>
      <c r="M59" s="89">
        <f t="shared" si="21"/>
        <v>1</v>
      </c>
      <c r="N59" s="89">
        <f t="shared" si="21"/>
        <v>1</v>
      </c>
      <c r="O59" s="89">
        <f>SUM(C59:N59)</f>
        <v>10</v>
      </c>
      <c r="P59" s="89">
        <f>IF(P58&gt;P57,0,1)</f>
        <v>1</v>
      </c>
      <c r="Q59" s="89">
        <f t="shared" ref="Q59:AA59" si="22">IF(Q58&gt;Q57,0,1)</f>
        <v>1</v>
      </c>
      <c r="R59" s="89">
        <f t="shared" si="22"/>
        <v>1</v>
      </c>
      <c r="S59" s="89">
        <f t="shared" si="22"/>
        <v>1</v>
      </c>
      <c r="T59" s="89">
        <f t="shared" si="22"/>
        <v>1</v>
      </c>
      <c r="U59" s="89">
        <f t="shared" si="22"/>
        <v>1</v>
      </c>
      <c r="V59" s="89">
        <f t="shared" si="22"/>
        <v>1</v>
      </c>
      <c r="W59" s="89">
        <f t="shared" si="22"/>
        <v>1</v>
      </c>
      <c r="X59" s="89">
        <f t="shared" si="22"/>
        <v>1</v>
      </c>
      <c r="Y59" s="89">
        <f t="shared" si="22"/>
        <v>1</v>
      </c>
      <c r="Z59" s="89">
        <f t="shared" si="22"/>
        <v>1</v>
      </c>
      <c r="AA59" s="89">
        <f t="shared" si="22"/>
        <v>1</v>
      </c>
      <c r="AB59" s="89">
        <f>SUM(P59:AA59)</f>
        <v>12</v>
      </c>
      <c r="AC59" s="89"/>
      <c r="AD59" s="89"/>
      <c r="AE59" s="89"/>
      <c r="AF59" s="89"/>
      <c r="AG59" s="89"/>
      <c r="AH59" s="89"/>
      <c r="AI59" s="89"/>
      <c r="AJ59" s="89"/>
      <c r="AK59" s="89"/>
      <c r="AL59" s="89"/>
      <c r="AM59" s="89"/>
    </row>
    <row r="60" spans="1:39" x14ac:dyDescent="0.2">
      <c r="A60" s="1" t="s">
        <v>199</v>
      </c>
      <c r="C60" s="1">
        <f t="shared" ref="C60:L60" si="23">IF(D59=1,1,0)</f>
        <v>0</v>
      </c>
      <c r="D60" s="1">
        <f t="shared" si="23"/>
        <v>1</v>
      </c>
      <c r="E60" s="1">
        <f t="shared" si="23"/>
        <v>1</v>
      </c>
      <c r="F60" s="1">
        <f t="shared" si="23"/>
        <v>1</v>
      </c>
      <c r="G60" s="1">
        <f t="shared" si="23"/>
        <v>1</v>
      </c>
      <c r="H60" s="1">
        <f t="shared" si="23"/>
        <v>1</v>
      </c>
      <c r="I60" s="1">
        <f t="shared" si="23"/>
        <v>1</v>
      </c>
      <c r="J60" s="1">
        <f t="shared" si="23"/>
        <v>1</v>
      </c>
      <c r="K60" s="1">
        <f t="shared" si="23"/>
        <v>1</v>
      </c>
      <c r="L60" s="1">
        <f t="shared" si="23"/>
        <v>1</v>
      </c>
      <c r="M60" s="1">
        <f>IF(N59=1,1,0)</f>
        <v>1</v>
      </c>
      <c r="N60" s="1">
        <f>IF(P59=1,1,0)</f>
        <v>1</v>
      </c>
    </row>
    <row r="61" spans="1:39" s="6" customFormat="1" ht="15" x14ac:dyDescent="0.3"/>
    <row r="62" spans="1:39" ht="15" x14ac:dyDescent="0.3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</row>
    <row r="63" spans="1:39" ht="15" x14ac:dyDescent="0.3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</row>
    <row r="64" spans="1:39" ht="15" x14ac:dyDescent="0.3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</row>
    <row r="65" spans="1:19" ht="15" x14ac:dyDescent="0.3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</row>
    <row r="66" spans="1:19" ht="15" x14ac:dyDescent="0.3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</row>
  </sheetData>
  <customSheetViews>
    <customSheetView guid="{8FC2DB0D-4D0A-11D3-9924-0080ADC9B26E}" scale="75" hiddenRows="1" showRuler="0" topLeftCell="I14">
      <selection activeCell="O32" sqref="O32"/>
      <pageMargins left="0.33" right="0.66" top="0.98425196850393704" bottom="0.98425196850393704" header="0" footer="0"/>
      <printOptions horizontalCentered="1" verticalCentered="1"/>
      <pageSetup scale="50" orientation="landscape" blackAndWhite="1" horizontalDpi="300" verticalDpi="360" r:id="rId1"/>
      <headerFooter alignWithMargins="0">
        <oddFooter>&amp;L&amp;D&amp;R&amp;8Proyectos Especiales
SPDy GP</oddFooter>
      </headerFooter>
    </customSheetView>
  </customSheetViews>
  <mergeCells count="39">
    <mergeCell ref="AC11:AL11"/>
    <mergeCell ref="C11:O11"/>
    <mergeCell ref="P9:AA9"/>
    <mergeCell ref="AB9:AB10"/>
    <mergeCell ref="P11:AB11"/>
    <mergeCell ref="AC33:AL33"/>
    <mergeCell ref="C21:O21"/>
    <mergeCell ref="P21:AB21"/>
    <mergeCell ref="AC21:AL21"/>
    <mergeCell ref="P22:AB22"/>
    <mergeCell ref="AC22:AL22"/>
    <mergeCell ref="C22:O22"/>
    <mergeCell ref="A22:B22"/>
    <mergeCell ref="A33:B33"/>
    <mergeCell ref="C33:O33"/>
    <mergeCell ref="P33:AB33"/>
    <mergeCell ref="Z5:AB5"/>
    <mergeCell ref="J5:L5"/>
    <mergeCell ref="M5:O5"/>
    <mergeCell ref="P5:V5"/>
    <mergeCell ref="W5:Y5"/>
    <mergeCell ref="A8:A10"/>
    <mergeCell ref="B8:B10"/>
    <mergeCell ref="AC5:AF5"/>
    <mergeCell ref="AG5:AI5"/>
    <mergeCell ref="A21:B21"/>
    <mergeCell ref="AC8:AL8"/>
    <mergeCell ref="C8:O8"/>
    <mergeCell ref="P8:AB8"/>
    <mergeCell ref="C9:N9"/>
    <mergeCell ref="O9:O10"/>
    <mergeCell ref="AJ5:AL5"/>
    <mergeCell ref="A6:B6"/>
    <mergeCell ref="C6:O6"/>
    <mergeCell ref="P6:AB6"/>
    <mergeCell ref="AC6:AL6"/>
    <mergeCell ref="A5:B5"/>
    <mergeCell ref="A11:B11"/>
    <mergeCell ref="C5:I5"/>
  </mergeCells>
  <phoneticPr fontId="20" type="noConversion"/>
  <pageMargins left="0.39370078740157483" right="0.39370078740157483" top="0.78740157480314965" bottom="0.59055118110236227" header="0.39370078740157483" footer="0.39370078740157483"/>
  <pageSetup scale="46" fitToWidth="3" orientation="landscape" blackAndWhite="1" horizontalDpi="4294967293" verticalDpi="4294967293" r:id="rId2"/>
  <headerFooter alignWithMargins="0">
    <oddHeader>&amp;C&amp;"Arial,Negrita"&amp;7Estudio de Factibilidad para el establecimiento de un mercado de mariscos en Hermosillo, Sonora</oddHeader>
    <oddFooter>&amp;L&amp;"Arial,Normal"&amp;7&amp;F - Hoja: &amp;A&amp;C&amp;"Arial,Normal"&amp;7&amp;D&amp;R&amp;"Arial,Normal"&amp;7&amp;P de  &amp;N</oddFooter>
  </headerFooter>
  <colBreaks count="2" manualBreakCount="2">
    <brk id="15" min="4" max="57" man="1"/>
    <brk id="28" min="4" max="57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FF0000"/>
    <pageSetUpPr fitToPage="1"/>
  </sheetPr>
  <dimension ref="A1:I42"/>
  <sheetViews>
    <sheetView showGridLines="0" view="pageBreakPreview" topLeftCell="A5" zoomScaleNormal="100" zoomScaleSheetLayoutView="100" workbookViewId="0">
      <selection activeCell="B33" sqref="B33"/>
    </sheetView>
  </sheetViews>
  <sheetFormatPr baseColWidth="10" defaultColWidth="11" defaultRowHeight="12.75" x14ac:dyDescent="0.2"/>
  <cols>
    <col min="1" max="1" width="26.5" style="1" customWidth="1"/>
    <col min="2" max="2" width="16.75" style="1" customWidth="1"/>
    <col min="3" max="3" width="12.875" style="1" customWidth="1"/>
    <col min="4" max="4" width="11" style="1"/>
    <col min="5" max="5" width="35.625" style="1" customWidth="1"/>
    <col min="6" max="16384" width="11" style="1"/>
  </cols>
  <sheetData>
    <row r="1" spans="1:9" ht="22.15" customHeight="1" thickBot="1" x14ac:dyDescent="0.25">
      <c r="A1" s="1682" t="str">
        <f>+'19 Resumen'!D4</f>
        <v>La Lasaña de Garfield</v>
      </c>
      <c r="B1" s="1683"/>
      <c r="C1" s="1684"/>
      <c r="D1" s="89"/>
      <c r="E1" s="89"/>
      <c r="F1" s="89"/>
      <c r="G1" s="89"/>
      <c r="H1" s="89"/>
      <c r="I1" s="89"/>
    </row>
    <row r="2" spans="1:9" ht="22.15" customHeight="1" x14ac:dyDescent="0.2">
      <c r="A2" s="529" t="str">
        <f>+'19 Resumen'!D5</f>
        <v>Martin Delgado</v>
      </c>
      <c r="B2" s="1688" t="str">
        <f>+'19 Resumen'!D6</f>
        <v>Grupo Delgado´s</v>
      </c>
      <c r="C2" s="1689"/>
      <c r="D2" s="89"/>
      <c r="E2" s="89"/>
      <c r="F2" s="89"/>
      <c r="G2" s="89"/>
      <c r="H2" s="89"/>
      <c r="I2" s="89"/>
    </row>
    <row r="3" spans="1:9" ht="22.15" customHeight="1" thickBot="1" x14ac:dyDescent="0.25">
      <c r="A3" s="530" t="s">
        <v>303</v>
      </c>
      <c r="B3" s="1680">
        <f>+'19 Resumen'!D2</f>
        <v>42747</v>
      </c>
      <c r="C3" s="1681"/>
      <c r="D3" s="89"/>
      <c r="E3" s="89"/>
      <c r="F3" s="89"/>
      <c r="G3" s="89"/>
      <c r="H3" s="89"/>
      <c r="I3" s="89"/>
    </row>
    <row r="4" spans="1:9" ht="22.15" customHeight="1" thickBot="1" x14ac:dyDescent="0.25">
      <c r="A4" s="505"/>
      <c r="B4" s="506"/>
      <c r="C4" s="507"/>
      <c r="D4" s="89"/>
      <c r="E4" s="89"/>
      <c r="F4" s="89"/>
      <c r="G4" s="89"/>
      <c r="H4" s="89"/>
      <c r="I4" s="89"/>
    </row>
    <row r="5" spans="1:9" ht="22.15" customHeight="1" thickBot="1" x14ac:dyDescent="0.25">
      <c r="A5" s="1690" t="s">
        <v>40</v>
      </c>
      <c r="B5" s="1691"/>
      <c r="C5" s="1692"/>
      <c r="D5" s="89"/>
      <c r="E5" s="89"/>
      <c r="F5" s="89"/>
      <c r="G5" s="89"/>
      <c r="H5" s="89"/>
      <c r="I5" s="89"/>
    </row>
    <row r="6" spans="1:9" ht="15.75" thickBot="1" x14ac:dyDescent="0.35">
      <c r="A6" s="360"/>
      <c r="B6" s="121"/>
      <c r="C6" s="128"/>
      <c r="D6" s="89"/>
      <c r="E6" s="89"/>
      <c r="F6" s="89"/>
      <c r="G6" s="89"/>
      <c r="H6" s="89"/>
      <c r="I6" s="28"/>
    </row>
    <row r="7" spans="1:9" ht="15.75" thickBot="1" x14ac:dyDescent="0.35">
      <c r="A7" s="508" t="s">
        <v>0</v>
      </c>
      <c r="B7" s="509" t="s">
        <v>41</v>
      </c>
      <c r="C7" s="510" t="s">
        <v>50</v>
      </c>
      <c r="D7" s="89"/>
      <c r="E7" s="89"/>
      <c r="F7" s="89"/>
      <c r="G7" s="89"/>
      <c r="H7" s="89"/>
      <c r="I7" s="28"/>
    </row>
    <row r="8" spans="1:9" ht="15.75" thickBot="1" x14ac:dyDescent="0.35">
      <c r="A8" s="511"/>
      <c r="B8" s="512"/>
      <c r="C8" s="128"/>
      <c r="D8" s="89"/>
      <c r="E8" s="89"/>
      <c r="F8" s="89"/>
      <c r="G8" s="89"/>
      <c r="H8" s="89"/>
      <c r="I8" s="28"/>
    </row>
    <row r="9" spans="1:9" ht="15" x14ac:dyDescent="0.3">
      <c r="A9" s="1685" t="s">
        <v>225</v>
      </c>
      <c r="B9" s="1686"/>
      <c r="C9" s="1687"/>
      <c r="D9" s="89"/>
      <c r="E9" s="89"/>
      <c r="F9" s="89"/>
      <c r="G9" s="89"/>
      <c r="H9" s="89"/>
      <c r="I9" s="28"/>
    </row>
    <row r="10" spans="1:9" ht="15" x14ac:dyDescent="0.3">
      <c r="A10" s="513" t="s">
        <v>226</v>
      </c>
      <c r="B10" s="144">
        <f>'8 Programa de Inversiónes'!C14+'8 Programa de Inversiónes'!D14</f>
        <v>570000</v>
      </c>
      <c r="C10" s="514">
        <f>+B10/$B$13</f>
        <v>0.21118932938125232</v>
      </c>
      <c r="D10" s="89"/>
      <c r="E10" s="89"/>
      <c r="F10" s="89"/>
      <c r="G10" s="89"/>
      <c r="H10" s="89"/>
      <c r="I10" s="28"/>
    </row>
    <row r="11" spans="1:9" ht="15" x14ac:dyDescent="0.3">
      <c r="A11" s="513" t="s">
        <v>227</v>
      </c>
      <c r="B11" s="114">
        <f>'8 Programa de Inversiónes'!C47+'8 Programa de Inversiónes'!D47</f>
        <v>1904000</v>
      </c>
      <c r="C11" s="514">
        <f>+B11/$B$13</f>
        <v>0.70544646165246383</v>
      </c>
      <c r="D11" s="89"/>
      <c r="E11" s="89"/>
      <c r="F11" s="89"/>
      <c r="G11" s="89"/>
      <c r="H11" s="89"/>
      <c r="I11" s="28"/>
    </row>
    <row r="12" spans="1:9" ht="15" x14ac:dyDescent="0.3">
      <c r="A12" s="513" t="s">
        <v>228</v>
      </c>
      <c r="B12" s="114">
        <f>+'8 Programa de Inversiónes'!C53+'8 Programa de Inversiónes'!D53</f>
        <v>225000</v>
      </c>
      <c r="C12" s="514">
        <f>+B12/$B$13</f>
        <v>8.3364208966283812E-2</v>
      </c>
      <c r="D12" s="89"/>
      <c r="E12" s="89"/>
      <c r="F12" s="89"/>
      <c r="G12" s="89"/>
      <c r="H12" s="89"/>
      <c r="I12" s="28"/>
    </row>
    <row r="13" spans="1:9" ht="15.75" thickBot="1" x14ac:dyDescent="0.35">
      <c r="A13" s="515" t="s">
        <v>42</v>
      </c>
      <c r="B13" s="516">
        <f>SUM(B10:B12)</f>
        <v>2699000</v>
      </c>
      <c r="C13" s="517">
        <f>+B13/$B$13</f>
        <v>1</v>
      </c>
      <c r="D13" s="89"/>
      <c r="E13" s="89"/>
      <c r="F13" s="89"/>
      <c r="G13" s="89"/>
      <c r="H13" s="89"/>
      <c r="I13" s="28"/>
    </row>
    <row r="14" spans="1:9" ht="15.75" thickBot="1" x14ac:dyDescent="0.35">
      <c r="A14" s="511"/>
      <c r="B14" s="477"/>
      <c r="C14" s="128"/>
      <c r="D14" s="89"/>
      <c r="E14" s="89"/>
      <c r="F14" s="89"/>
      <c r="G14" s="89"/>
      <c r="H14" s="89"/>
      <c r="I14" s="28"/>
    </row>
    <row r="15" spans="1:9" x14ac:dyDescent="0.2">
      <c r="A15" s="1685" t="s">
        <v>354</v>
      </c>
      <c r="B15" s="1686"/>
      <c r="C15" s="1687"/>
      <c r="D15" s="89"/>
      <c r="E15" s="89"/>
      <c r="F15" s="89"/>
      <c r="G15" s="89"/>
      <c r="H15" s="89"/>
      <c r="I15" s="89"/>
    </row>
    <row r="16" spans="1:9" x14ac:dyDescent="0.2">
      <c r="A16" s="513" t="s">
        <v>366</v>
      </c>
      <c r="B16" s="114">
        <f>'5 Estado de Fuentes y Usos'!AC14</f>
        <v>50000</v>
      </c>
      <c r="C16" s="514">
        <f t="shared" ref="C16:C21" si="0">+B16/$B$13</f>
        <v>1.8525379770285292E-2</v>
      </c>
      <c r="D16" s="89"/>
      <c r="E16" s="89"/>
      <c r="F16" s="89"/>
      <c r="G16" s="89"/>
      <c r="H16" s="89"/>
      <c r="I16" s="89"/>
    </row>
    <row r="17" spans="1:9" x14ac:dyDescent="0.2">
      <c r="A17" s="513" t="s">
        <v>367</v>
      </c>
      <c r="B17" s="114">
        <f>'5 Estado de Fuentes y Usos'!AC15</f>
        <v>100000</v>
      </c>
      <c r="C17" s="514">
        <f t="shared" si="0"/>
        <v>3.7050759540570584E-2</v>
      </c>
      <c r="D17" s="89"/>
      <c r="E17" s="89"/>
      <c r="F17" s="89"/>
      <c r="G17" s="89"/>
      <c r="H17" s="89"/>
      <c r="I17" s="89"/>
    </row>
    <row r="18" spans="1:9" x14ac:dyDescent="0.2">
      <c r="A18" s="513" t="s">
        <v>647</v>
      </c>
      <c r="B18" s="114"/>
      <c r="C18" s="514">
        <f t="shared" si="0"/>
        <v>0</v>
      </c>
      <c r="D18" s="89"/>
      <c r="E18" s="89"/>
      <c r="F18" s="89"/>
      <c r="G18" s="89"/>
      <c r="H18" s="89"/>
      <c r="I18" s="89"/>
    </row>
    <row r="19" spans="1:9" x14ac:dyDescent="0.2">
      <c r="A19" s="513">
        <f>+'8 Programa de Inversiónes'!B10</f>
        <v>0</v>
      </c>
      <c r="B19" s="114"/>
      <c r="C19" s="514">
        <f t="shared" si="0"/>
        <v>0</v>
      </c>
      <c r="D19" s="89"/>
      <c r="E19" s="89"/>
      <c r="F19" s="89"/>
      <c r="G19" s="89"/>
      <c r="H19" s="89"/>
      <c r="I19" s="89"/>
    </row>
    <row r="20" spans="1:9" x14ac:dyDescent="0.2">
      <c r="A20" s="513">
        <f>+'8 Programa de Inversiónes'!B11</f>
        <v>0</v>
      </c>
      <c r="B20" s="114"/>
      <c r="C20" s="514">
        <f t="shared" si="0"/>
        <v>0</v>
      </c>
      <c r="D20" s="89"/>
      <c r="E20" s="89"/>
      <c r="F20" s="89"/>
      <c r="G20" s="89"/>
      <c r="H20" s="89"/>
      <c r="I20" s="89"/>
    </row>
    <row r="21" spans="1:9" ht="13.5" thickBot="1" x14ac:dyDescent="0.25">
      <c r="A21" s="515" t="s">
        <v>229</v>
      </c>
      <c r="B21" s="516">
        <f>SUM(B16:B20)</f>
        <v>150000</v>
      </c>
      <c r="C21" s="517">
        <f t="shared" si="0"/>
        <v>5.5576139310855872E-2</v>
      </c>
      <c r="D21" s="89"/>
      <c r="E21" s="89"/>
      <c r="F21" s="89"/>
      <c r="G21" s="89"/>
      <c r="H21" s="89"/>
      <c r="I21" s="89"/>
    </row>
    <row r="22" spans="1:9" ht="13.5" thickBot="1" x14ac:dyDescent="0.25">
      <c r="A22" s="511"/>
      <c r="B22" s="477"/>
      <c r="C22" s="518"/>
      <c r="D22" s="89"/>
      <c r="E22" s="89"/>
      <c r="F22" s="89"/>
      <c r="G22" s="89"/>
      <c r="H22" s="89"/>
      <c r="I22" s="89"/>
    </row>
    <row r="23" spans="1:9" ht="14.25" customHeight="1" x14ac:dyDescent="0.2">
      <c r="A23" s="1677" t="s">
        <v>100</v>
      </c>
      <c r="B23" s="1678"/>
      <c r="C23" s="1679"/>
      <c r="D23" s="89"/>
      <c r="E23" s="89"/>
      <c r="F23" s="89"/>
      <c r="G23" s="89"/>
      <c r="H23" s="89"/>
      <c r="I23" s="89"/>
    </row>
    <row r="24" spans="1:9" x14ac:dyDescent="0.2">
      <c r="A24" s="513" t="s">
        <v>87</v>
      </c>
      <c r="B24" s="114">
        <f>+B16+B17+B18</f>
        <v>150000</v>
      </c>
      <c r="C24" s="514">
        <f t="shared" ref="C24:C31" si="1">+B24/$B$13</f>
        <v>5.5576139310855872E-2</v>
      </c>
      <c r="D24" s="89"/>
      <c r="E24" s="89"/>
      <c r="F24" s="89"/>
      <c r="G24" s="89"/>
      <c r="H24" s="89"/>
      <c r="I24" s="89"/>
    </row>
    <row r="25" spans="1:9" x14ac:dyDescent="0.2">
      <c r="A25" s="513" t="str">
        <f>+'7 Balance Inicial'!D11</f>
        <v>Intereses por pagar</v>
      </c>
      <c r="B25" s="114">
        <f>+'7 Balance Inicial'!E11</f>
        <v>0</v>
      </c>
      <c r="C25" s="514">
        <f t="shared" si="1"/>
        <v>0</v>
      </c>
      <c r="D25" s="89"/>
      <c r="E25" s="89"/>
      <c r="F25" s="89"/>
      <c r="G25" s="89"/>
      <c r="H25" s="89"/>
      <c r="I25" s="89"/>
    </row>
    <row r="26" spans="1:9" x14ac:dyDescent="0.2">
      <c r="A26" s="513" t="s">
        <v>88</v>
      </c>
      <c r="B26" s="114">
        <f>+'7 Balance Inicial'!E14</f>
        <v>0</v>
      </c>
      <c r="C26" s="514">
        <f t="shared" si="1"/>
        <v>0</v>
      </c>
      <c r="D26" s="89"/>
      <c r="E26" s="89"/>
      <c r="F26" s="89"/>
      <c r="G26" s="89"/>
      <c r="H26" s="89"/>
      <c r="I26" s="89"/>
    </row>
    <row r="27" spans="1:9" x14ac:dyDescent="0.2">
      <c r="A27" s="513" t="str">
        <f>+'7 Balance Inicial'!D17</f>
        <v>Acreedores  diversos</v>
      </c>
      <c r="B27" s="114">
        <f>+'7 Balance Inicial'!E17</f>
        <v>0</v>
      </c>
      <c r="C27" s="514">
        <f t="shared" si="1"/>
        <v>0</v>
      </c>
      <c r="D27" s="89"/>
      <c r="E27" s="89"/>
      <c r="F27" s="89"/>
      <c r="G27" s="89"/>
      <c r="H27" s="89"/>
      <c r="I27" s="89"/>
    </row>
    <row r="28" spans="1:9" x14ac:dyDescent="0.2">
      <c r="A28" s="513" t="str">
        <f>+'7 Balance Inicial'!D18</f>
        <v>Impuestos por pagar</v>
      </c>
      <c r="B28" s="114">
        <f>+'7 Balance Inicial'!E18</f>
        <v>0</v>
      </c>
      <c r="C28" s="514">
        <f t="shared" si="1"/>
        <v>0</v>
      </c>
      <c r="D28" s="89"/>
      <c r="E28" s="89"/>
      <c r="F28" s="89"/>
      <c r="G28" s="89"/>
      <c r="H28" s="89"/>
      <c r="I28" s="89"/>
    </row>
    <row r="29" spans="1:9" x14ac:dyDescent="0.2">
      <c r="A29" s="513" t="str">
        <f>+'7 Balance Inicial'!D19</f>
        <v>Anticipo de clientes</v>
      </c>
      <c r="B29" s="114"/>
      <c r="C29" s="514">
        <f t="shared" si="1"/>
        <v>0</v>
      </c>
      <c r="D29" s="89"/>
      <c r="E29" s="89"/>
      <c r="F29" s="89"/>
      <c r="G29" s="89"/>
      <c r="H29" s="89"/>
      <c r="I29" s="89"/>
    </row>
    <row r="30" spans="1:9" x14ac:dyDescent="0.2">
      <c r="A30" s="519" t="s">
        <v>58</v>
      </c>
      <c r="B30" s="114">
        <f>SUM(B24:B29)</f>
        <v>150000</v>
      </c>
      <c r="C30" s="514">
        <f t="shared" si="1"/>
        <v>5.5576139310855872E-2</v>
      </c>
      <c r="D30" s="89"/>
      <c r="E30" s="89"/>
      <c r="F30" s="89"/>
      <c r="G30" s="89"/>
      <c r="H30" s="89"/>
      <c r="I30" s="89"/>
    </row>
    <row r="31" spans="1:9" ht="13.5" thickBot="1" x14ac:dyDescent="0.25">
      <c r="A31" s="515" t="s">
        <v>101</v>
      </c>
      <c r="B31" s="516">
        <f>+B30</f>
        <v>150000</v>
      </c>
      <c r="C31" s="520">
        <f t="shared" si="1"/>
        <v>5.5576139310855872E-2</v>
      </c>
      <c r="D31" s="89"/>
      <c r="E31" s="89"/>
      <c r="F31" s="89"/>
      <c r="G31" s="89"/>
      <c r="H31" s="89"/>
      <c r="I31" s="89"/>
    </row>
    <row r="32" spans="1:9" ht="13.5" thickBot="1" x14ac:dyDescent="0.25">
      <c r="A32" s="477"/>
      <c r="B32" s="121"/>
      <c r="C32" s="521"/>
      <c r="D32" s="89"/>
      <c r="E32" s="89"/>
      <c r="F32" s="89"/>
      <c r="G32" s="89"/>
      <c r="H32" s="89"/>
      <c r="I32" s="89"/>
    </row>
    <row r="33" spans="1:9" ht="13.5" thickBot="1" x14ac:dyDescent="0.25">
      <c r="A33" s="531" t="s">
        <v>231</v>
      </c>
      <c r="B33" s="532">
        <f>+'7 Balance Inicial'!B35+'19 Resumen'!D24</f>
        <v>2044000</v>
      </c>
      <c r="C33" s="522">
        <f>+B33/$B$41</f>
        <v>0.93163172288058338</v>
      </c>
      <c r="D33" s="89"/>
      <c r="E33" s="89"/>
      <c r="F33" s="89"/>
      <c r="G33" s="89"/>
      <c r="H33" s="89"/>
      <c r="I33" s="89"/>
    </row>
    <row r="34" spans="1:9" ht="13.5" thickBot="1" x14ac:dyDescent="0.25">
      <c r="A34" s="523"/>
      <c r="B34" s="524"/>
      <c r="C34" s="525"/>
      <c r="D34" s="89"/>
      <c r="E34" s="89"/>
      <c r="F34" s="89"/>
      <c r="G34" s="89"/>
      <c r="H34" s="89"/>
      <c r="I34" s="89"/>
    </row>
    <row r="35" spans="1:9" ht="13.5" customHeight="1" x14ac:dyDescent="0.2">
      <c r="A35" s="1677" t="s">
        <v>98</v>
      </c>
      <c r="B35" s="1678"/>
      <c r="C35" s="1679"/>
      <c r="D35" s="89"/>
      <c r="E35" s="89"/>
      <c r="F35" s="89"/>
      <c r="G35" s="89"/>
      <c r="H35" s="89"/>
      <c r="I35" s="89"/>
    </row>
    <row r="36" spans="1:9" x14ac:dyDescent="0.2">
      <c r="A36" s="526"/>
      <c r="B36" s="527"/>
      <c r="C36" s="514">
        <f>+B36/$B$13</f>
        <v>0</v>
      </c>
      <c r="D36" s="89"/>
      <c r="E36" s="89"/>
      <c r="F36" s="89"/>
      <c r="G36" s="89"/>
      <c r="H36" s="89"/>
      <c r="I36" s="89"/>
    </row>
    <row r="37" spans="1:9" x14ac:dyDescent="0.2">
      <c r="A37" s="526"/>
      <c r="B37" s="527"/>
      <c r="C37" s="514">
        <f>+B37/$B$13</f>
        <v>0</v>
      </c>
      <c r="D37" s="89"/>
      <c r="E37" s="89"/>
      <c r="F37" s="89"/>
      <c r="G37" s="89"/>
      <c r="H37" s="89"/>
      <c r="I37" s="89"/>
    </row>
    <row r="38" spans="1:9" x14ac:dyDescent="0.2">
      <c r="A38" s="526"/>
      <c r="B38" s="527"/>
      <c r="C38" s="514">
        <f>+B38/$B$13</f>
        <v>0</v>
      </c>
      <c r="D38" s="89"/>
      <c r="E38" s="89"/>
      <c r="F38" s="89"/>
      <c r="G38" s="89"/>
      <c r="H38" s="89"/>
      <c r="I38" s="89"/>
    </row>
    <row r="39" spans="1:9" ht="13.5" thickBot="1" x14ac:dyDescent="0.25">
      <c r="A39" s="515" t="s">
        <v>99</v>
      </c>
      <c r="B39" s="516">
        <f>SUM(B36:B38)</f>
        <v>0</v>
      </c>
      <c r="C39" s="517">
        <f>+B39/$B$13</f>
        <v>0</v>
      </c>
      <c r="D39" s="89"/>
      <c r="E39" s="89"/>
      <c r="F39" s="89"/>
      <c r="G39" s="89"/>
      <c r="H39" s="89"/>
      <c r="I39" s="89"/>
    </row>
    <row r="40" spans="1:9" ht="13.5" thickBot="1" x14ac:dyDescent="0.25">
      <c r="A40" s="511"/>
      <c r="B40" s="477"/>
      <c r="C40" s="528"/>
      <c r="D40" s="89"/>
      <c r="E40" s="89"/>
      <c r="F40" s="89"/>
      <c r="G40" s="89"/>
      <c r="H40" s="89"/>
      <c r="I40" s="89"/>
    </row>
    <row r="41" spans="1:9" ht="13.5" thickBot="1" x14ac:dyDescent="0.25">
      <c r="A41" s="531" t="s">
        <v>42</v>
      </c>
      <c r="B41" s="532">
        <f>+B33+B31+B39</f>
        <v>2194000</v>
      </c>
      <c r="C41" s="522">
        <f>+B41/$B$13</f>
        <v>0.81289366432011856</v>
      </c>
      <c r="D41" s="89"/>
      <c r="E41" s="89"/>
      <c r="F41" s="89"/>
      <c r="G41" s="89"/>
      <c r="H41" s="89"/>
      <c r="I41" s="89"/>
    </row>
    <row r="42" spans="1:9" x14ac:dyDescent="0.2">
      <c r="A42" s="89" t="s">
        <v>232</v>
      </c>
      <c r="B42" s="89">
        <f>B41-B13</f>
        <v>-505000</v>
      </c>
      <c r="C42" s="89"/>
      <c r="D42" s="89"/>
      <c r="E42" s="89"/>
      <c r="F42" s="89"/>
      <c r="G42" s="89"/>
      <c r="H42" s="89"/>
      <c r="I42" s="89"/>
    </row>
  </sheetData>
  <customSheetViews>
    <customSheetView guid="{8FC2DB0D-4D0A-11D3-9924-0080ADC9B26E}" scale="75" fitToPage="1" showRuler="0" topLeftCell="A31">
      <selection activeCell="A14" sqref="A14:C14"/>
      <pageMargins left="0.98425196850393704" right="0.98425196850393704" top="0.98425196850393704" bottom="0.98425196850393704" header="0" footer="0"/>
      <printOptions horizontalCentered="1" verticalCentered="1"/>
      <pageSetup scale="87" orientation="landscape" blackAndWhite="1" horizontalDpi="360" verticalDpi="360" r:id="rId1"/>
      <headerFooter alignWithMargins="0"/>
    </customSheetView>
  </customSheetViews>
  <mergeCells count="8">
    <mergeCell ref="A23:C23"/>
    <mergeCell ref="A35:C35"/>
    <mergeCell ref="B3:C3"/>
    <mergeCell ref="A1:C1"/>
    <mergeCell ref="A15:C15"/>
    <mergeCell ref="B2:C2"/>
    <mergeCell ref="A9:C9"/>
    <mergeCell ref="A5:C5"/>
  </mergeCells>
  <phoneticPr fontId="20" type="noConversion"/>
  <pageMargins left="0.39370078740157483" right="0.39370078740157483" top="0.78740157480314965" bottom="0.59055118110236227" header="0.39370078740157483" footer="0.39370078740157483"/>
  <pageSetup scale="80" fitToWidth="3" orientation="landscape" blackAndWhite="1" horizontalDpi="4294967293" verticalDpi="300" r:id="rId2"/>
  <headerFooter alignWithMargins="0">
    <oddHeader>&amp;C&amp;"Arial,Negrita"&amp;7Estudio de Factibilidad para el establecimiento de un mercado de mariscos en Hermosillo, Sonora</oddHeader>
    <oddFooter>&amp;L&amp;"Arial,Normal"&amp;7&amp;F - Hoja: &amp;A&amp;C&amp;"Arial,Normal"&amp;7&amp;D&amp;R&amp;"Arial,Normal"&amp;7&amp;P de 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FF0000"/>
    <pageSetUpPr fitToPage="1"/>
  </sheetPr>
  <dimension ref="A1:E39"/>
  <sheetViews>
    <sheetView showGridLines="0" view="pageBreakPreview" zoomScaleNormal="100" zoomScaleSheetLayoutView="100" workbookViewId="0">
      <selection activeCell="A4" sqref="A4:E35"/>
    </sheetView>
  </sheetViews>
  <sheetFormatPr baseColWidth="10" defaultColWidth="11" defaultRowHeight="15" x14ac:dyDescent="0.3"/>
  <cols>
    <col min="1" max="1" width="33.875" style="6" customWidth="1"/>
    <col min="2" max="2" width="16" style="6" customWidth="1"/>
    <col min="3" max="3" width="5.25" style="6" customWidth="1"/>
    <col min="4" max="4" width="33.25" style="6" customWidth="1"/>
    <col min="5" max="5" width="15.75" style="6" customWidth="1"/>
    <col min="6" max="16384" width="11" style="6"/>
  </cols>
  <sheetData>
    <row r="1" spans="1:5" ht="22.15" customHeight="1" x14ac:dyDescent="0.3">
      <c r="A1" s="1703" t="str">
        <f>+'19 Resumen'!D4</f>
        <v>La Lasaña de Garfield</v>
      </c>
      <c r="B1" s="1704"/>
      <c r="C1" s="1704"/>
      <c r="D1" s="1704"/>
      <c r="E1" s="1705"/>
    </row>
    <row r="2" spans="1:5" ht="22.15" customHeight="1" x14ac:dyDescent="0.4">
      <c r="A2" s="1709" t="str">
        <f>+'19 Resumen'!D5</f>
        <v>Martin Delgado</v>
      </c>
      <c r="B2" s="1710"/>
      <c r="C2" s="40"/>
      <c r="D2" s="1713" t="str">
        <f>+'19 Resumen'!D6</f>
        <v>Grupo Delgado´s</v>
      </c>
      <c r="E2" s="1714"/>
    </row>
    <row r="3" spans="1:5" ht="22.15" customHeight="1" x14ac:dyDescent="0.3">
      <c r="A3" s="1711" t="s">
        <v>102</v>
      </c>
      <c r="B3" s="1712"/>
      <c r="C3" s="40"/>
      <c r="D3" s="1715">
        <f>+'19 Resumen'!D2</f>
        <v>42747</v>
      </c>
      <c r="E3" s="1716"/>
    </row>
    <row r="4" spans="1:5" ht="22.15" customHeight="1" thickBot="1" x14ac:dyDescent="0.35">
      <c r="A4" s="1706" t="s">
        <v>102</v>
      </c>
      <c r="B4" s="1707"/>
      <c r="C4" s="1707"/>
      <c r="D4" s="1707"/>
      <c r="E4" s="1708"/>
    </row>
    <row r="5" spans="1:5" ht="17.25" thickBot="1" x14ac:dyDescent="0.4">
      <c r="A5" s="462"/>
      <c r="B5" s="463"/>
      <c r="C5" s="463"/>
      <c r="D5" s="28"/>
      <c r="E5" s="28"/>
    </row>
    <row r="6" spans="1:5" s="1" customFormat="1" ht="22.9" customHeight="1" x14ac:dyDescent="0.2">
      <c r="A6" s="1695" t="s">
        <v>233</v>
      </c>
      <c r="B6" s="1696"/>
      <c r="C6" s="464"/>
      <c r="D6" s="1697" t="s">
        <v>56</v>
      </c>
      <c r="E6" s="1698"/>
    </row>
    <row r="7" spans="1:5" s="1" customFormat="1" ht="15.75" x14ac:dyDescent="0.25">
      <c r="A7" s="1701" t="s">
        <v>24</v>
      </c>
      <c r="B7" s="1702"/>
      <c r="C7" s="147"/>
      <c r="D7" s="1699" t="s">
        <v>86</v>
      </c>
      <c r="E7" s="1700"/>
    </row>
    <row r="8" spans="1:5" s="1" customFormat="1" ht="12.75" x14ac:dyDescent="0.2">
      <c r="A8" s="465" t="str">
        <f>+'8 Programa de Inversiónes'!B8</f>
        <v>Aportación de los socios</v>
      </c>
      <c r="B8" s="356">
        <f>+'8 Programa de Inversiónes'!C8</f>
        <v>570000</v>
      </c>
      <c r="C8" s="466"/>
      <c r="D8" s="467" t="s">
        <v>87</v>
      </c>
      <c r="E8" s="336">
        <f>SUM(E9:E10)</f>
        <v>0</v>
      </c>
    </row>
    <row r="9" spans="1:5" s="1" customFormat="1" ht="12.75" x14ac:dyDescent="0.2">
      <c r="A9" s="465" t="str">
        <f>+'8 Programa de Inversiónes'!B9</f>
        <v>Inventarios</v>
      </c>
      <c r="B9" s="356">
        <f>+'8 Programa de Inversiónes'!C9</f>
        <v>0</v>
      </c>
      <c r="C9" s="466"/>
      <c r="D9" s="468"/>
      <c r="E9" s="469"/>
    </row>
    <row r="10" spans="1:5" s="1" customFormat="1" ht="12.75" x14ac:dyDescent="0.2">
      <c r="A10" s="465">
        <f>+'8 Programa de Inversiónes'!B10</f>
        <v>0</v>
      </c>
      <c r="B10" s="356">
        <f>+'8 Programa de Inversiónes'!C10</f>
        <v>0</v>
      </c>
      <c r="C10" s="466"/>
      <c r="D10" s="468"/>
      <c r="E10" s="469"/>
    </row>
    <row r="11" spans="1:5" s="1" customFormat="1" ht="12.75" x14ac:dyDescent="0.2">
      <c r="A11" s="465">
        <f>+'8 Programa de Inversiónes'!B11</f>
        <v>0</v>
      </c>
      <c r="B11" s="356">
        <f>+'8 Programa de Inversiónes'!C11</f>
        <v>0</v>
      </c>
      <c r="C11" s="466"/>
      <c r="D11" s="467" t="s">
        <v>103</v>
      </c>
      <c r="E11" s="336">
        <f>SUM(E12:E13)</f>
        <v>0</v>
      </c>
    </row>
    <row r="12" spans="1:5" s="1" customFormat="1" ht="12.75" x14ac:dyDescent="0.2">
      <c r="A12" s="465">
        <f>+'8 Programa de Inversiónes'!B12</f>
        <v>0</v>
      </c>
      <c r="B12" s="356">
        <f>+'8 Programa de Inversiónes'!C12</f>
        <v>0</v>
      </c>
      <c r="C12" s="466"/>
      <c r="D12" s="468"/>
      <c r="E12" s="469"/>
    </row>
    <row r="13" spans="1:5" s="1" customFormat="1" ht="12.75" x14ac:dyDescent="0.2">
      <c r="A13" s="465">
        <f>+'8 Programa de Inversiónes'!B13</f>
        <v>0</v>
      </c>
      <c r="B13" s="356">
        <f>+'8 Programa de Inversiónes'!C13</f>
        <v>0</v>
      </c>
      <c r="C13" s="466"/>
      <c r="D13" s="468"/>
      <c r="E13" s="469"/>
    </row>
    <row r="14" spans="1:5" s="1" customFormat="1" ht="12.75" x14ac:dyDescent="0.2">
      <c r="A14" s="465"/>
      <c r="B14" s="356"/>
      <c r="C14" s="466"/>
      <c r="D14" s="467" t="s">
        <v>88</v>
      </c>
      <c r="E14" s="336">
        <f>SUM(E15:E16)</f>
        <v>0</v>
      </c>
    </row>
    <row r="15" spans="1:5" s="1" customFormat="1" ht="12.75" x14ac:dyDescent="0.2">
      <c r="A15" s="465"/>
      <c r="B15" s="356"/>
      <c r="C15" s="466"/>
      <c r="D15" s="468" t="s">
        <v>309</v>
      </c>
      <c r="E15" s="469">
        <v>0</v>
      </c>
    </row>
    <row r="16" spans="1:5" s="1" customFormat="1" ht="12.75" x14ac:dyDescent="0.2">
      <c r="A16" s="465"/>
      <c r="B16" s="356"/>
      <c r="C16" s="466"/>
      <c r="D16" s="468" t="s">
        <v>310</v>
      </c>
      <c r="E16" s="469">
        <v>0</v>
      </c>
    </row>
    <row r="17" spans="1:5" s="1" customFormat="1" ht="13.5" thickBot="1" x14ac:dyDescent="0.25">
      <c r="A17" s="470" t="s">
        <v>83</v>
      </c>
      <c r="B17" s="471">
        <f>SUM(B8:B16)</f>
        <v>570000</v>
      </c>
      <c r="C17" s="181"/>
      <c r="D17" s="467" t="s">
        <v>230</v>
      </c>
      <c r="E17" s="336">
        <v>0</v>
      </c>
    </row>
    <row r="18" spans="1:5" s="1" customFormat="1" ht="13.5" thickBot="1" x14ac:dyDescent="0.25">
      <c r="A18" s="472"/>
      <c r="B18" s="472"/>
      <c r="C18" s="147"/>
      <c r="D18" s="467" t="s">
        <v>89</v>
      </c>
      <c r="E18" s="336">
        <v>0</v>
      </c>
    </row>
    <row r="19" spans="1:5" s="1" customFormat="1" ht="15.75" x14ac:dyDescent="0.25">
      <c r="A19" s="1693" t="s">
        <v>142</v>
      </c>
      <c r="B19" s="1694"/>
      <c r="C19" s="147"/>
      <c r="D19" s="467" t="s">
        <v>90</v>
      </c>
      <c r="E19" s="336">
        <v>0</v>
      </c>
    </row>
    <row r="20" spans="1:5" s="1" customFormat="1" ht="13.5" thickBot="1" x14ac:dyDescent="0.25">
      <c r="A20" s="473" t="s">
        <v>27</v>
      </c>
      <c r="B20" s="474">
        <f>+'8 Programa de Inversiónes'!C17</f>
        <v>870000</v>
      </c>
      <c r="C20" s="466"/>
      <c r="D20" s="475" t="s">
        <v>91</v>
      </c>
      <c r="E20" s="179">
        <f>+E19+E18+E17+E14+E11+E8</f>
        <v>0</v>
      </c>
    </row>
    <row r="21" spans="1:5" s="1" customFormat="1" ht="13.5" thickBot="1" x14ac:dyDescent="0.25">
      <c r="A21" s="473" t="s">
        <v>8</v>
      </c>
      <c r="B21" s="474">
        <f>+'8 Programa de Inversiónes'!C18</f>
        <v>0</v>
      </c>
      <c r="C21" s="466"/>
      <c r="D21" s="476"/>
      <c r="E21" s="477"/>
    </row>
    <row r="22" spans="1:5" s="1" customFormat="1" ht="15.75" x14ac:dyDescent="0.25">
      <c r="A22" s="473" t="s">
        <v>28</v>
      </c>
      <c r="B22" s="474">
        <f>+'8 Programa de Inversiónes'!C27</f>
        <v>0</v>
      </c>
      <c r="C22" s="466"/>
      <c r="D22" s="478" t="s">
        <v>57</v>
      </c>
      <c r="E22" s="479"/>
    </row>
    <row r="23" spans="1:5" s="1" customFormat="1" ht="12.75" x14ac:dyDescent="0.2">
      <c r="A23" s="473" t="str">
        <f>+'8 Programa de Inversiónes'!A29</f>
        <v>Mobiliario y equipo de oficina</v>
      </c>
      <c r="B23" s="474">
        <f>+'8 Programa de Inversiónes'!C35</f>
        <v>14000</v>
      </c>
      <c r="C23" s="466"/>
      <c r="D23" s="480" t="s">
        <v>234</v>
      </c>
      <c r="E23" s="469">
        <f>+'5 Estado de Fuentes y Usos'!B15</f>
        <v>0</v>
      </c>
    </row>
    <row r="24" spans="1:5" s="1" customFormat="1" ht="12.75" x14ac:dyDescent="0.2">
      <c r="A24" s="473" t="s">
        <v>11</v>
      </c>
      <c r="B24" s="474">
        <f>+'8 Programa de Inversiónes'!C45</f>
        <v>290000</v>
      </c>
      <c r="C24" s="466"/>
      <c r="D24" s="480" t="s">
        <v>235</v>
      </c>
      <c r="E24" s="469">
        <f>+'5 Estado de Fuentes y Usos'!B14</f>
        <v>0</v>
      </c>
    </row>
    <row r="25" spans="1:5" s="1" customFormat="1" ht="13.5" thickBot="1" x14ac:dyDescent="0.25">
      <c r="A25" s="481" t="s">
        <v>29</v>
      </c>
      <c r="B25" s="482">
        <f>SUM(B20:B24)</f>
        <v>1174000</v>
      </c>
      <c r="C25" s="483"/>
      <c r="D25" s="484" t="s">
        <v>58</v>
      </c>
      <c r="E25" s="179">
        <f>+E24+E23</f>
        <v>0</v>
      </c>
    </row>
    <row r="26" spans="1:5" s="1" customFormat="1" ht="13.5" thickBot="1" x14ac:dyDescent="0.25">
      <c r="A26" s="485"/>
      <c r="B26" s="486"/>
      <c r="C26" s="483"/>
      <c r="D26" s="476"/>
      <c r="E26" s="477"/>
    </row>
    <row r="27" spans="1:5" s="1" customFormat="1" ht="16.5" thickBot="1" x14ac:dyDescent="0.3">
      <c r="A27" s="1693" t="s">
        <v>30</v>
      </c>
      <c r="B27" s="1694"/>
      <c r="C27" s="147"/>
      <c r="D27" s="487" t="s">
        <v>59</v>
      </c>
      <c r="E27" s="488">
        <f>+E25+E20</f>
        <v>0</v>
      </c>
    </row>
    <row r="28" spans="1:5" s="1" customFormat="1" ht="13.5" thickBot="1" x14ac:dyDescent="0.25">
      <c r="A28" s="473" t="s">
        <v>3</v>
      </c>
      <c r="B28" s="356">
        <f>+'8 Programa de Inversiónes'!C50</f>
        <v>150000</v>
      </c>
      <c r="C28" s="466"/>
      <c r="D28" s="476"/>
      <c r="E28" s="483"/>
    </row>
    <row r="29" spans="1:5" s="1" customFormat="1" ht="15.75" x14ac:dyDescent="0.25">
      <c r="A29" s="473"/>
      <c r="B29" s="356"/>
      <c r="C29" s="466"/>
      <c r="D29" s="478" t="s">
        <v>33</v>
      </c>
      <c r="E29" s="489"/>
    </row>
    <row r="30" spans="1:5" s="1" customFormat="1" ht="12.75" x14ac:dyDescent="0.2">
      <c r="A30" s="473" t="s">
        <v>12</v>
      </c>
      <c r="B30" s="356">
        <f>+'8 Programa de Inversiónes'!C51</f>
        <v>0</v>
      </c>
      <c r="C30" s="466"/>
      <c r="D30" s="490" t="s">
        <v>34</v>
      </c>
      <c r="E30" s="474">
        <f>+B35-E20</f>
        <v>1894000</v>
      </c>
    </row>
    <row r="31" spans="1:5" s="1" customFormat="1" ht="12.75" x14ac:dyDescent="0.2">
      <c r="A31" s="473"/>
      <c r="B31" s="356"/>
      <c r="C31" s="466"/>
      <c r="D31" s="490" t="s">
        <v>35</v>
      </c>
      <c r="E31" s="474"/>
    </row>
    <row r="32" spans="1:5" s="1" customFormat="1" ht="12.75" x14ac:dyDescent="0.2">
      <c r="A32" s="473" t="s">
        <v>4</v>
      </c>
      <c r="B32" s="356">
        <f>+'8 Programa de Inversiónes'!C52</f>
        <v>0</v>
      </c>
      <c r="C32" s="466"/>
      <c r="D32" s="490" t="s">
        <v>36</v>
      </c>
      <c r="E32" s="474"/>
    </row>
    <row r="33" spans="1:5" s="1" customFormat="1" ht="13.5" thickBot="1" x14ac:dyDescent="0.25">
      <c r="A33" s="481" t="s">
        <v>31</v>
      </c>
      <c r="B33" s="471">
        <f>SUM(B28:B32)</f>
        <v>150000</v>
      </c>
      <c r="C33" s="466"/>
      <c r="D33" s="484" t="s">
        <v>104</v>
      </c>
      <c r="E33" s="285">
        <f>SUM(E30:E32)</f>
        <v>1894000</v>
      </c>
    </row>
    <row r="34" spans="1:5" s="1" customFormat="1" ht="13.5" thickBot="1" x14ac:dyDescent="0.25">
      <c r="A34" s="247"/>
      <c r="B34" s="247"/>
      <c r="C34" s="483"/>
      <c r="D34" s="483"/>
      <c r="E34" s="483"/>
    </row>
    <row r="35" spans="1:5" s="1" customFormat="1" ht="13.5" thickBot="1" x14ac:dyDescent="0.25">
      <c r="A35" s="491" t="s">
        <v>32</v>
      </c>
      <c r="B35" s="492">
        <f>+B33+B25+B17</f>
        <v>1894000</v>
      </c>
      <c r="C35" s="483"/>
      <c r="D35" s="493" t="s">
        <v>105</v>
      </c>
      <c r="E35" s="494">
        <f>+E33+E27</f>
        <v>1894000</v>
      </c>
    </row>
    <row r="36" spans="1:5" s="1" customFormat="1" ht="13.5" thickBot="1" x14ac:dyDescent="0.25">
      <c r="A36" s="247"/>
      <c r="B36" s="247"/>
      <c r="C36" s="483"/>
      <c r="D36" s="89"/>
      <c r="E36" s="89"/>
    </row>
    <row r="37" spans="1:5" s="1" customFormat="1" ht="13.5" thickBot="1" x14ac:dyDescent="0.25">
      <c r="A37" s="495" t="s">
        <v>129</v>
      </c>
      <c r="B37" s="496">
        <f>+B35-E35</f>
        <v>0</v>
      </c>
      <c r="C37" s="497"/>
      <c r="D37" s="498" t="str">
        <f>IF(B37=0, "OK, no hay diferencias en el Balance Inicial", "Existen Diferencias en el Balance Inicial")</f>
        <v>OK, no hay diferencias en el Balance Inicial</v>
      </c>
      <c r="E37" s="499"/>
    </row>
    <row r="38" spans="1:5" x14ac:dyDescent="0.3">
      <c r="C38" s="3"/>
    </row>
    <row r="39" spans="1:5" x14ac:dyDescent="0.3">
      <c r="C39" s="3"/>
    </row>
  </sheetData>
  <customSheetViews>
    <customSheetView guid="{8FC2DB0D-4D0A-11D3-9924-0080ADC9B26E}" scale="75" showRuler="0">
      <selection sqref="A1:E2"/>
      <pageMargins left="0.75" right="0.75" top="1" bottom="1" header="0" footer="0"/>
      <headerFooter alignWithMargins="0"/>
    </customSheetView>
  </customSheetViews>
  <mergeCells count="12">
    <mergeCell ref="A1:E1"/>
    <mergeCell ref="A19:B19"/>
    <mergeCell ref="A4:E4"/>
    <mergeCell ref="A2:B2"/>
    <mergeCell ref="A3:B3"/>
    <mergeCell ref="D2:E2"/>
    <mergeCell ref="D3:E3"/>
    <mergeCell ref="A27:B27"/>
    <mergeCell ref="A6:B6"/>
    <mergeCell ref="D6:E6"/>
    <mergeCell ref="D7:E7"/>
    <mergeCell ref="A7:B7"/>
  </mergeCells>
  <phoneticPr fontId="20" type="noConversion"/>
  <pageMargins left="0.39370078740157483" right="0.39370078740157483" top="0.78740157480314965" bottom="0.59055118110236227" header="0.39370078740157483" footer="0.39370078740157483"/>
  <pageSetup scale="92" fitToWidth="3" orientation="landscape" blackAndWhite="1" horizontalDpi="4294967293" verticalDpi="300" r:id="rId1"/>
  <headerFooter alignWithMargins="0">
    <oddHeader>&amp;C&amp;"Arial,Negrita"&amp;7Estudio de Factibilidad para el establecimiento de un mercado de mariscos en Hermosillo, Sonora</oddHeader>
    <oddFooter>&amp;L&amp;"Arial,Normal"&amp;7&amp;F - Hoja: &amp;A&amp;C&amp;"Arial,Normal"&amp;7&amp;D&amp;R&amp;"Arial,Normal"&amp;7&amp;P de 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00B050"/>
  </sheetPr>
  <dimension ref="A1:T92"/>
  <sheetViews>
    <sheetView showGridLines="0" view="pageBreakPreview" zoomScale="70" zoomScaleNormal="75" zoomScaleSheetLayoutView="70" workbookViewId="0">
      <selection activeCell="C9" sqref="C9"/>
    </sheetView>
  </sheetViews>
  <sheetFormatPr baseColWidth="10" defaultColWidth="11" defaultRowHeight="12.75" x14ac:dyDescent="0.2"/>
  <cols>
    <col min="1" max="1" width="3.625" style="16" customWidth="1"/>
    <col min="2" max="2" width="30.25" style="16" customWidth="1"/>
    <col min="3" max="3" width="16.75" style="16" customWidth="1"/>
    <col min="4" max="4" width="16.125" style="16" customWidth="1"/>
    <col min="5" max="13" width="12.75" style="16" customWidth="1"/>
    <col min="14" max="15" width="11" style="16"/>
    <col min="16" max="16" width="30.875" style="16" customWidth="1"/>
    <col min="17" max="16384" width="11" style="16"/>
  </cols>
  <sheetData>
    <row r="1" spans="1:20" ht="22.15" customHeight="1" thickBot="1" x14ac:dyDescent="0.3">
      <c r="A1" s="1743" t="s">
        <v>306</v>
      </c>
      <c r="B1" s="1744"/>
      <c r="C1" s="1744"/>
      <c r="D1" s="1748" t="str">
        <f>+'19 Resumen'!D4</f>
        <v>La Lasaña de Garfield</v>
      </c>
      <c r="E1" s="1736"/>
      <c r="F1" s="1736"/>
      <c r="G1" s="1736"/>
      <c r="H1" s="1736" t="str">
        <f>+'19 Resumen'!D5</f>
        <v>Martin Delgado</v>
      </c>
      <c r="I1" s="1736"/>
      <c r="J1" s="1736"/>
      <c r="K1" s="1736" t="str">
        <f>+'19 Resumen'!D6</f>
        <v>Grupo Delgado´s</v>
      </c>
      <c r="L1" s="1736"/>
      <c r="M1" s="1737"/>
    </row>
    <row r="2" spans="1:20" ht="22.15" customHeight="1" thickBot="1" x14ac:dyDescent="0.3">
      <c r="A2" s="1745">
        <f>+'19 Resumen'!D2</f>
        <v>42747</v>
      </c>
      <c r="B2" s="1746"/>
      <c r="C2" s="1747"/>
      <c r="D2" s="1738" t="s">
        <v>192</v>
      </c>
      <c r="E2" s="1739"/>
      <c r="F2" s="1739"/>
      <c r="G2" s="1739"/>
      <c r="H2" s="1739"/>
      <c r="I2" s="1739"/>
      <c r="J2" s="1739"/>
      <c r="K2" s="1739"/>
      <c r="L2" s="1739"/>
      <c r="M2" s="1740"/>
    </row>
    <row r="3" spans="1:20" ht="22.15" hidden="1" customHeight="1" thickBot="1" x14ac:dyDescent="0.3">
      <c r="A3" s="416"/>
      <c r="B3" s="417"/>
      <c r="C3" s="58"/>
      <c r="D3" s="57"/>
      <c r="E3" s="57"/>
      <c r="F3" s="57"/>
      <c r="G3" s="418"/>
      <c r="H3" s="418"/>
      <c r="I3" s="418"/>
      <c r="J3" s="418"/>
      <c r="K3" s="57"/>
      <c r="L3" s="57"/>
      <c r="M3" s="58"/>
    </row>
    <row r="4" spans="1:20" ht="22.15" customHeight="1" x14ac:dyDescent="0.2">
      <c r="A4" s="1748" t="s">
        <v>136</v>
      </c>
      <c r="B4" s="1736"/>
      <c r="C4" s="1736" t="s">
        <v>144</v>
      </c>
      <c r="D4" s="1741" t="s">
        <v>143</v>
      </c>
      <c r="E4" s="1741"/>
      <c r="F4" s="1741"/>
      <c r="G4" s="1741"/>
      <c r="H4" s="1741"/>
      <c r="I4" s="1741"/>
      <c r="J4" s="1741"/>
      <c r="K4" s="1741"/>
      <c r="L4" s="1741"/>
      <c r="M4" s="1742"/>
    </row>
    <row r="5" spans="1:20" ht="22.15" customHeight="1" thickBot="1" x14ac:dyDescent="0.25">
      <c r="A5" s="1749"/>
      <c r="B5" s="1739"/>
      <c r="C5" s="1739"/>
      <c r="D5" s="641">
        <f>YEAR('19 Resumen'!D3)</f>
        <v>2017</v>
      </c>
      <c r="E5" s="641">
        <f>+D5+1</f>
        <v>2018</v>
      </c>
      <c r="F5" s="54">
        <f t="shared" ref="F5:M5" si="0">+E5+1</f>
        <v>2019</v>
      </c>
      <c r="G5" s="54">
        <f t="shared" si="0"/>
        <v>2020</v>
      </c>
      <c r="H5" s="54">
        <f t="shared" si="0"/>
        <v>2021</v>
      </c>
      <c r="I5" s="54">
        <f t="shared" si="0"/>
        <v>2022</v>
      </c>
      <c r="J5" s="54">
        <f t="shared" si="0"/>
        <v>2023</v>
      </c>
      <c r="K5" s="54">
        <f t="shared" si="0"/>
        <v>2024</v>
      </c>
      <c r="L5" s="54">
        <f t="shared" si="0"/>
        <v>2025</v>
      </c>
      <c r="M5" s="55">
        <f t="shared" si="0"/>
        <v>2026</v>
      </c>
    </row>
    <row r="6" spans="1:20" ht="13.9" customHeight="1" thickBot="1" x14ac:dyDescent="0.35">
      <c r="A6" s="635"/>
      <c r="B6" s="636"/>
      <c r="C6" s="636"/>
      <c r="D6" s="637"/>
      <c r="E6" s="637"/>
      <c r="F6" s="638"/>
      <c r="G6" s="638"/>
      <c r="H6" s="638"/>
      <c r="I6" s="638"/>
      <c r="J6" s="638"/>
      <c r="K6" s="638"/>
      <c r="L6" s="638"/>
      <c r="M6" s="639"/>
      <c r="P6"/>
      <c r="Q6"/>
      <c r="R6"/>
      <c r="S6"/>
      <c r="T6"/>
    </row>
    <row r="7" spans="1:20" s="19" customFormat="1" ht="16.149999999999999" customHeight="1" x14ac:dyDescent="0.3">
      <c r="A7" s="1717" t="s">
        <v>257</v>
      </c>
      <c r="B7" s="1718"/>
      <c r="C7" s="1718"/>
      <c r="D7" s="1718"/>
      <c r="E7" s="1718"/>
      <c r="F7" s="1718"/>
      <c r="G7" s="1718"/>
      <c r="H7" s="1718"/>
      <c r="I7" s="1718"/>
      <c r="J7" s="1718"/>
      <c r="K7" s="1718"/>
      <c r="L7" s="1718"/>
      <c r="M7" s="1719"/>
      <c r="P7"/>
      <c r="Q7"/>
      <c r="R7"/>
      <c r="S7"/>
      <c r="T7"/>
    </row>
    <row r="8" spans="1:20" ht="13.9" customHeight="1" x14ac:dyDescent="0.3">
      <c r="A8" s="420"/>
      <c r="B8" s="751" t="s">
        <v>379</v>
      </c>
      <c r="C8" s="723">
        <v>570000</v>
      </c>
      <c r="D8" s="740"/>
      <c r="E8" s="423"/>
      <c r="F8" s="423">
        <v>0</v>
      </c>
      <c r="G8" s="423">
        <v>0</v>
      </c>
      <c r="H8" s="423">
        <v>0</v>
      </c>
      <c r="I8" s="423">
        <v>0</v>
      </c>
      <c r="J8" s="423">
        <v>0</v>
      </c>
      <c r="K8" s="423">
        <v>0</v>
      </c>
      <c r="L8" s="423">
        <v>0</v>
      </c>
      <c r="M8" s="424">
        <v>0</v>
      </c>
      <c r="P8"/>
      <c r="Q8"/>
      <c r="R8"/>
      <c r="S8"/>
      <c r="T8"/>
    </row>
    <row r="9" spans="1:20" ht="13.9" customHeight="1" x14ac:dyDescent="0.3">
      <c r="A9" s="420"/>
      <c r="B9" s="751" t="s">
        <v>396</v>
      </c>
      <c r="C9" s="723"/>
      <c r="D9" s="740">
        <v>0</v>
      </c>
      <c r="E9" s="423"/>
      <c r="F9" s="423"/>
      <c r="G9" s="423"/>
      <c r="H9" s="423"/>
      <c r="I9" s="423"/>
      <c r="J9" s="423"/>
      <c r="K9" s="423"/>
      <c r="L9" s="423"/>
      <c r="M9" s="424"/>
      <c r="P9"/>
      <c r="Q9"/>
      <c r="R9"/>
      <c r="S9"/>
      <c r="T9"/>
    </row>
    <row r="10" spans="1:20" ht="13.9" customHeight="1" x14ac:dyDescent="0.2">
      <c r="A10" s="420"/>
      <c r="B10" s="419"/>
      <c r="C10" s="424"/>
      <c r="D10" s="422">
        <f>+'6 Estructura del Capital'!B19</f>
        <v>0</v>
      </c>
      <c r="E10" s="423"/>
      <c r="F10" s="423"/>
      <c r="G10" s="423"/>
      <c r="H10" s="423"/>
      <c r="I10" s="423"/>
      <c r="J10" s="423"/>
      <c r="K10" s="423"/>
      <c r="L10" s="423"/>
      <c r="M10" s="424"/>
    </row>
    <row r="11" spans="1:20" ht="13.9" customHeight="1" x14ac:dyDescent="0.2">
      <c r="A11" s="420"/>
      <c r="B11" s="419"/>
      <c r="C11" s="642">
        <f>+'19 Resumen'!G27</f>
        <v>0</v>
      </c>
      <c r="D11" s="422"/>
      <c r="E11" s="423"/>
      <c r="F11" s="423"/>
      <c r="G11" s="423"/>
      <c r="H11" s="423"/>
      <c r="I11" s="423"/>
      <c r="J11" s="423"/>
      <c r="K11" s="423"/>
      <c r="L11" s="423"/>
      <c r="M11" s="424"/>
    </row>
    <row r="12" spans="1:20" ht="13.9" customHeight="1" x14ac:dyDescent="0.2">
      <c r="A12" s="420"/>
      <c r="B12" s="419"/>
      <c r="C12" s="424"/>
      <c r="D12" s="422"/>
      <c r="E12" s="423"/>
      <c r="F12" s="423"/>
      <c r="G12" s="423"/>
      <c r="H12" s="423"/>
      <c r="I12" s="423"/>
      <c r="J12" s="423"/>
      <c r="K12" s="423"/>
      <c r="L12" s="423"/>
      <c r="M12" s="424"/>
      <c r="P12" s="626"/>
    </row>
    <row r="13" spans="1:20" ht="13.9" customHeight="1" x14ac:dyDescent="0.2">
      <c r="A13" s="36"/>
      <c r="B13" s="643"/>
      <c r="C13" s="424"/>
      <c r="D13" s="419"/>
      <c r="E13" s="34"/>
      <c r="F13" s="34"/>
      <c r="G13" s="34"/>
      <c r="H13" s="34"/>
      <c r="I13" s="34"/>
      <c r="J13" s="34"/>
      <c r="K13" s="34"/>
      <c r="L13" s="34"/>
      <c r="M13" s="56"/>
      <c r="P13" s="626"/>
    </row>
    <row r="14" spans="1:20" ht="13.9" customHeight="1" thickBot="1" x14ac:dyDescent="0.25">
      <c r="A14" s="421" t="s">
        <v>83</v>
      </c>
      <c r="B14" s="425"/>
      <c r="C14" s="426">
        <f t="shared" ref="C14:M14" si="1">SUM(C8:C13)</f>
        <v>570000</v>
      </c>
      <c r="D14" s="427">
        <f t="shared" si="1"/>
        <v>0</v>
      </c>
      <c r="E14" s="425">
        <f t="shared" si="1"/>
        <v>0</v>
      </c>
      <c r="F14" s="425">
        <f t="shared" si="1"/>
        <v>0</v>
      </c>
      <c r="G14" s="425">
        <f t="shared" si="1"/>
        <v>0</v>
      </c>
      <c r="H14" s="425">
        <f t="shared" si="1"/>
        <v>0</v>
      </c>
      <c r="I14" s="425">
        <f t="shared" si="1"/>
        <v>0</v>
      </c>
      <c r="J14" s="425">
        <f t="shared" si="1"/>
        <v>0</v>
      </c>
      <c r="K14" s="425">
        <f t="shared" si="1"/>
        <v>0</v>
      </c>
      <c r="L14" s="425">
        <f t="shared" si="1"/>
        <v>0</v>
      </c>
      <c r="M14" s="426">
        <f t="shared" si="1"/>
        <v>0</v>
      </c>
      <c r="P14" s="627"/>
    </row>
    <row r="15" spans="1:20" ht="13.9" customHeight="1" thickBot="1" x14ac:dyDescent="0.3">
      <c r="A15" s="433"/>
      <c r="B15" s="428"/>
      <c r="C15" s="428"/>
      <c r="D15" s="428"/>
      <c r="E15" s="428"/>
      <c r="F15" s="428"/>
      <c r="G15" s="428"/>
      <c r="H15" s="428"/>
      <c r="I15" s="428"/>
      <c r="J15" s="428"/>
      <c r="K15" s="429"/>
      <c r="L15" s="429"/>
      <c r="M15" s="429"/>
      <c r="O15" s="15"/>
      <c r="P15" s="15"/>
    </row>
    <row r="16" spans="1:20" s="19" customFormat="1" ht="16.149999999999999" customHeight="1" x14ac:dyDescent="0.2">
      <c r="A16" s="1720" t="s">
        <v>258</v>
      </c>
      <c r="B16" s="1721"/>
      <c r="C16" s="1721"/>
      <c r="D16" s="1721"/>
      <c r="E16" s="1721"/>
      <c r="F16" s="1721"/>
      <c r="G16" s="1721"/>
      <c r="H16" s="1721"/>
      <c r="I16" s="1721"/>
      <c r="J16" s="1721"/>
      <c r="K16" s="1721"/>
      <c r="L16" s="1721"/>
      <c r="M16" s="1722"/>
    </row>
    <row r="17" spans="1:13" ht="13.9" customHeight="1" x14ac:dyDescent="0.2">
      <c r="A17" s="420"/>
      <c r="B17" s="434" t="s">
        <v>27</v>
      </c>
      <c r="C17" s="729">
        <v>870000</v>
      </c>
      <c r="D17" s="740"/>
      <c r="E17" s="729"/>
      <c r="F17" s="423"/>
      <c r="G17" s="423"/>
      <c r="H17" s="423"/>
      <c r="I17" s="423"/>
      <c r="J17" s="423"/>
      <c r="K17" s="423"/>
      <c r="L17" s="423"/>
      <c r="M17" s="424"/>
    </row>
    <row r="18" spans="1:13" ht="13.9" customHeight="1" thickBot="1" x14ac:dyDescent="0.25">
      <c r="A18" s="449"/>
      <c r="B18" s="427" t="s">
        <v>46</v>
      </c>
      <c r="C18" s="725"/>
      <c r="D18" s="1398">
        <v>0</v>
      </c>
      <c r="E18" s="725">
        <v>3500000</v>
      </c>
      <c r="F18" s="645"/>
      <c r="G18" s="645"/>
      <c r="H18" s="645"/>
      <c r="I18" s="645"/>
      <c r="J18" s="645"/>
      <c r="K18" s="645"/>
      <c r="L18" s="645"/>
      <c r="M18" s="644"/>
    </row>
    <row r="19" spans="1:13" s="14" customFormat="1" ht="13.9" customHeight="1" thickBot="1" x14ac:dyDescent="0.25">
      <c r="A19" s="435"/>
      <c r="B19" s="430"/>
      <c r="C19" s="430"/>
      <c r="D19" s="430"/>
      <c r="E19" s="430"/>
      <c r="F19" s="64"/>
      <c r="G19" s="64"/>
      <c r="H19" s="64"/>
      <c r="I19" s="64"/>
      <c r="J19" s="64"/>
      <c r="K19" s="64"/>
      <c r="L19" s="64"/>
      <c r="M19" s="64"/>
    </row>
    <row r="20" spans="1:13" ht="13.9" customHeight="1" thickBot="1" x14ac:dyDescent="0.25">
      <c r="A20" s="436" t="s">
        <v>28</v>
      </c>
      <c r="B20" s="432"/>
      <c r="C20" s="927"/>
      <c r="D20" s="1733" t="str">
        <f>+A20</f>
        <v>Maquinaria y equipo</v>
      </c>
      <c r="E20" s="1734"/>
      <c r="F20" s="1734"/>
      <c r="G20" s="1734"/>
      <c r="H20" s="1734"/>
      <c r="I20" s="1734"/>
      <c r="J20" s="1734"/>
      <c r="K20" s="1734"/>
      <c r="L20" s="1734"/>
      <c r="M20" s="1735"/>
    </row>
    <row r="21" spans="1:13" ht="13.9" customHeight="1" x14ac:dyDescent="0.2">
      <c r="A21" s="726"/>
      <c r="B21" s="924" t="s">
        <v>420</v>
      </c>
      <c r="C21" s="990"/>
      <c r="D21" s="1031">
        <v>30000</v>
      </c>
      <c r="E21" s="754"/>
      <c r="F21" s="755"/>
      <c r="G21" s="755"/>
      <c r="H21" s="755">
        <f>+C21</f>
        <v>0</v>
      </c>
      <c r="I21" s="756">
        <f>+D21</f>
        <v>30000</v>
      </c>
      <c r="J21" s="755"/>
      <c r="K21" s="755"/>
      <c r="L21" s="755"/>
      <c r="M21" s="757">
        <f t="shared" ref="M21:M26" si="2">+I21</f>
        <v>30000</v>
      </c>
    </row>
    <row r="22" spans="1:13" ht="13.9" customHeight="1" x14ac:dyDescent="0.2">
      <c r="A22" s="726"/>
      <c r="B22" s="924" t="s">
        <v>421</v>
      </c>
      <c r="C22" s="991"/>
      <c r="D22" s="1032">
        <v>25000</v>
      </c>
      <c r="E22" s="729"/>
      <c r="F22" s="752"/>
      <c r="G22" s="752"/>
      <c r="H22" s="752">
        <f>+C22</f>
        <v>0</v>
      </c>
      <c r="I22" s="753">
        <f>+D22</f>
        <v>25000</v>
      </c>
      <c r="J22" s="752"/>
      <c r="K22" s="752"/>
      <c r="L22" s="752"/>
      <c r="M22" s="758">
        <f t="shared" si="2"/>
        <v>25000</v>
      </c>
    </row>
    <row r="23" spans="1:13" ht="13.9" customHeight="1" x14ac:dyDescent="0.2">
      <c r="A23" s="726"/>
      <c r="B23" s="924" t="s">
        <v>422</v>
      </c>
      <c r="C23" s="990"/>
      <c r="D23" s="1032">
        <v>45000</v>
      </c>
      <c r="E23" s="729"/>
      <c r="F23" s="752"/>
      <c r="G23" s="752"/>
      <c r="H23" s="752">
        <f>+C23</f>
        <v>0</v>
      </c>
      <c r="I23" s="753">
        <f>+E23</f>
        <v>0</v>
      </c>
      <c r="J23" s="752"/>
      <c r="K23" s="753">
        <f>+D23</f>
        <v>45000</v>
      </c>
      <c r="L23" s="752"/>
      <c r="M23" s="758">
        <f t="shared" si="2"/>
        <v>0</v>
      </c>
    </row>
    <row r="24" spans="1:13" ht="13.9" customHeight="1" x14ac:dyDescent="0.2">
      <c r="A24" s="420"/>
      <c r="B24" s="924" t="s">
        <v>423</v>
      </c>
      <c r="C24" s="990"/>
      <c r="D24" s="1033">
        <v>15000</v>
      </c>
      <c r="E24" s="729"/>
      <c r="F24" s="729"/>
      <c r="G24" s="729"/>
      <c r="H24" s="752">
        <f>+C24</f>
        <v>0</v>
      </c>
      <c r="I24" s="753">
        <f>+E24</f>
        <v>0</v>
      </c>
      <c r="J24" s="729"/>
      <c r="K24" s="753">
        <f>+D24</f>
        <v>15000</v>
      </c>
      <c r="L24" s="729"/>
      <c r="M24" s="758">
        <f t="shared" si="2"/>
        <v>0</v>
      </c>
    </row>
    <row r="25" spans="1:13" ht="13.9" customHeight="1" x14ac:dyDescent="0.2">
      <c r="A25" s="420"/>
      <c r="B25" s="925" t="s">
        <v>635</v>
      </c>
      <c r="C25" s="990"/>
      <c r="D25" s="727">
        <v>50000</v>
      </c>
      <c r="E25" s="729"/>
      <c r="F25" s="729">
        <f>+D25</f>
        <v>50000</v>
      </c>
      <c r="G25" s="729">
        <f>+E25</f>
        <v>0</v>
      </c>
      <c r="H25" s="752">
        <f>+C25</f>
        <v>0</v>
      </c>
      <c r="I25" s="729">
        <f>+F25</f>
        <v>50000</v>
      </c>
      <c r="J25" s="729">
        <f>+H25</f>
        <v>0</v>
      </c>
      <c r="K25" s="729"/>
      <c r="L25" s="729">
        <f>+J25</f>
        <v>0</v>
      </c>
      <c r="M25" s="758">
        <f t="shared" si="2"/>
        <v>50000</v>
      </c>
    </row>
    <row r="26" spans="1:13" ht="13.9" customHeight="1" thickBot="1" x14ac:dyDescent="0.25">
      <c r="A26" s="59"/>
      <c r="B26" s="926"/>
      <c r="C26" s="992"/>
      <c r="D26" s="724"/>
      <c r="E26" s="725"/>
      <c r="F26" s="725"/>
      <c r="G26" s="725"/>
      <c r="H26" s="993">
        <f>+C26</f>
        <v>0</v>
      </c>
      <c r="I26" s="759">
        <f>+E26</f>
        <v>0</v>
      </c>
      <c r="J26" s="725"/>
      <c r="K26" s="725"/>
      <c r="L26" s="725"/>
      <c r="M26" s="760">
        <f t="shared" si="2"/>
        <v>0</v>
      </c>
    </row>
    <row r="27" spans="1:13" ht="13.9" customHeight="1" thickBot="1" x14ac:dyDescent="0.25">
      <c r="A27" s="437" t="s">
        <v>259</v>
      </c>
      <c r="B27" s="438"/>
      <c r="C27" s="442">
        <f>SUM(C24:C26)</f>
        <v>0</v>
      </c>
      <c r="D27" s="437">
        <f>SUM(D21:D26)</f>
        <v>165000</v>
      </c>
      <c r="E27" s="437">
        <f t="shared" ref="E27:M27" si="3">SUM(E24:E26)</f>
        <v>0</v>
      </c>
      <c r="F27" s="438">
        <f t="shared" si="3"/>
        <v>50000</v>
      </c>
      <c r="G27" s="438">
        <f t="shared" si="3"/>
        <v>0</v>
      </c>
      <c r="H27" s="438">
        <f t="shared" si="3"/>
        <v>0</v>
      </c>
      <c r="I27" s="438">
        <f t="shared" si="3"/>
        <v>50000</v>
      </c>
      <c r="J27" s="438">
        <f t="shared" si="3"/>
        <v>0</v>
      </c>
      <c r="K27" s="438">
        <f t="shared" si="3"/>
        <v>15000</v>
      </c>
      <c r="L27" s="438">
        <f t="shared" si="3"/>
        <v>0</v>
      </c>
      <c r="M27" s="442">
        <f t="shared" si="3"/>
        <v>50000</v>
      </c>
    </row>
    <row r="28" spans="1:13" s="14" customFormat="1" ht="13.9" customHeight="1" thickBot="1" x14ac:dyDescent="0.25">
      <c r="A28" s="455"/>
      <c r="B28" s="460"/>
      <c r="C28" s="460"/>
      <c r="D28" s="429"/>
      <c r="E28" s="429"/>
      <c r="F28" s="429"/>
      <c r="G28" s="429"/>
      <c r="H28" s="429"/>
      <c r="I28" s="429"/>
      <c r="J28" s="429"/>
      <c r="K28" s="429"/>
      <c r="L28" s="429"/>
      <c r="M28" s="429"/>
    </row>
    <row r="29" spans="1:13" ht="13.9" customHeight="1" x14ac:dyDescent="0.2">
      <c r="A29" s="436" t="s">
        <v>297</v>
      </c>
      <c r="B29" s="431"/>
      <c r="C29" s="432"/>
      <c r="D29" s="1726" t="str">
        <f>+A29</f>
        <v>Mobiliario y equipo de oficina</v>
      </c>
      <c r="E29" s="1727"/>
      <c r="F29" s="1727"/>
      <c r="G29" s="1727"/>
      <c r="H29" s="1727"/>
      <c r="I29" s="1727"/>
      <c r="J29" s="1727"/>
      <c r="K29" s="1727"/>
      <c r="L29" s="1727"/>
      <c r="M29" s="1728"/>
    </row>
    <row r="30" spans="1:13" ht="13.9" customHeight="1" x14ac:dyDescent="0.2">
      <c r="A30" s="461"/>
      <c r="B30" s="640" t="s">
        <v>424</v>
      </c>
      <c r="C30" s="723">
        <v>0</v>
      </c>
      <c r="D30" s="751">
        <v>150000</v>
      </c>
      <c r="E30" s="729">
        <v>30000</v>
      </c>
      <c r="F30" s="729">
        <f>+C3</f>
        <v>0</v>
      </c>
      <c r="G30" s="729">
        <f>+E30</f>
        <v>30000</v>
      </c>
      <c r="H30" s="729">
        <f>+D30</f>
        <v>150000</v>
      </c>
      <c r="I30" s="729">
        <f>+G30</f>
        <v>30000</v>
      </c>
      <c r="J30" s="729">
        <f>+F30</f>
        <v>0</v>
      </c>
      <c r="K30" s="729">
        <f>+I30</f>
        <v>30000</v>
      </c>
      <c r="L30" s="729"/>
      <c r="M30" s="723">
        <f>+H30</f>
        <v>150000</v>
      </c>
    </row>
    <row r="31" spans="1:13" ht="13.9" customHeight="1" x14ac:dyDescent="0.2">
      <c r="A31" s="461"/>
      <c r="B31" s="640" t="s">
        <v>634</v>
      </c>
      <c r="C31" s="723"/>
      <c r="D31" s="751">
        <v>150000</v>
      </c>
      <c r="E31" s="729"/>
      <c r="F31" s="729"/>
      <c r="G31" s="729">
        <v>250000</v>
      </c>
      <c r="H31" s="729"/>
      <c r="I31" s="729"/>
      <c r="J31" s="729">
        <f>+G31</f>
        <v>250000</v>
      </c>
      <c r="K31" s="729"/>
      <c r="L31" s="729"/>
      <c r="M31" s="729">
        <f>+J31</f>
        <v>250000</v>
      </c>
    </row>
    <row r="32" spans="1:13" ht="13.9" customHeight="1" x14ac:dyDescent="0.2">
      <c r="A32" s="461"/>
      <c r="B32" s="640" t="s">
        <v>636</v>
      </c>
      <c r="C32" s="723"/>
      <c r="D32" s="751">
        <v>45000</v>
      </c>
      <c r="E32" s="729"/>
      <c r="F32" s="729"/>
      <c r="G32" s="729">
        <v>90000</v>
      </c>
      <c r="H32" s="729"/>
      <c r="I32" s="729"/>
      <c r="J32" s="729">
        <f>+G32</f>
        <v>90000</v>
      </c>
      <c r="K32" s="729"/>
      <c r="L32" s="729"/>
      <c r="M32" s="729">
        <f>+J32</f>
        <v>90000</v>
      </c>
    </row>
    <row r="33" spans="1:13" ht="13.9" customHeight="1" x14ac:dyDescent="0.2">
      <c r="A33" s="420"/>
      <c r="B33" s="640" t="s">
        <v>425</v>
      </c>
      <c r="C33" s="723">
        <v>0</v>
      </c>
      <c r="D33" s="740">
        <v>30000</v>
      </c>
      <c r="E33" s="729"/>
      <c r="F33" s="729">
        <f>+C33</f>
        <v>0</v>
      </c>
      <c r="G33" s="729"/>
      <c r="H33" s="729">
        <f>+D33</f>
        <v>30000</v>
      </c>
      <c r="I33" s="729">
        <f>+E33/2</f>
        <v>0</v>
      </c>
      <c r="J33" s="729"/>
      <c r="K33" s="729"/>
      <c r="L33" s="729"/>
      <c r="M33" s="723">
        <f>+H33</f>
        <v>30000</v>
      </c>
    </row>
    <row r="34" spans="1:13" ht="13.9" customHeight="1" x14ac:dyDescent="0.2">
      <c r="A34" s="420"/>
      <c r="B34" s="740" t="s">
        <v>637</v>
      </c>
      <c r="C34" s="723">
        <v>14000</v>
      </c>
      <c r="D34" s="740">
        <v>15000</v>
      </c>
      <c r="E34" s="729"/>
      <c r="F34" s="729">
        <f>+C34</f>
        <v>14000</v>
      </c>
      <c r="G34" s="729"/>
      <c r="H34" s="729">
        <f>+D34</f>
        <v>15000</v>
      </c>
      <c r="I34" s="729">
        <f>+F34</f>
        <v>14000</v>
      </c>
      <c r="J34" s="729"/>
      <c r="K34" s="729"/>
      <c r="L34" s="729">
        <f>+I34</f>
        <v>14000</v>
      </c>
      <c r="M34" s="723">
        <f>+H34</f>
        <v>15000</v>
      </c>
    </row>
    <row r="35" spans="1:13" ht="13.9" customHeight="1" thickBot="1" x14ac:dyDescent="0.25">
      <c r="A35" s="1729" t="s">
        <v>305</v>
      </c>
      <c r="B35" s="1730"/>
      <c r="C35" s="426">
        <f t="shared" ref="C35:H35" si="4">SUM(C30:C34)</f>
        <v>14000</v>
      </c>
      <c r="D35" s="427">
        <f t="shared" si="4"/>
        <v>390000</v>
      </c>
      <c r="E35" s="425">
        <f t="shared" si="4"/>
        <v>30000</v>
      </c>
      <c r="F35" s="425">
        <f t="shared" si="4"/>
        <v>14000</v>
      </c>
      <c r="G35" s="425">
        <f t="shared" si="4"/>
        <v>370000</v>
      </c>
      <c r="H35" s="425">
        <f t="shared" si="4"/>
        <v>195000</v>
      </c>
      <c r="I35" s="425">
        <f>SUM(I30:I34)</f>
        <v>44000</v>
      </c>
      <c r="J35" s="425">
        <f>SUM(J30:J34)</f>
        <v>340000</v>
      </c>
      <c r="K35" s="425">
        <f>SUM(K30:K34)</f>
        <v>30000</v>
      </c>
      <c r="L35" s="425">
        <f>SUM(L30:L34)</f>
        <v>14000</v>
      </c>
      <c r="M35" s="426">
        <f>SUM(M30:M34)</f>
        <v>535000</v>
      </c>
    </row>
    <row r="36" spans="1:13" s="14" customFormat="1" ht="13.9" customHeight="1" thickBot="1" x14ac:dyDescent="0.25">
      <c r="A36" s="439"/>
      <c r="B36" s="439"/>
      <c r="C36" s="439"/>
      <c r="D36" s="439"/>
      <c r="E36" s="439"/>
      <c r="F36" s="37"/>
      <c r="G36" s="37"/>
      <c r="H36" s="37"/>
      <c r="K36" s="37"/>
      <c r="L36" s="37"/>
      <c r="M36" s="37"/>
    </row>
    <row r="37" spans="1:13" ht="13.9" customHeight="1" x14ac:dyDescent="0.2">
      <c r="A37" s="436" t="s">
        <v>2</v>
      </c>
      <c r="B37" s="431"/>
      <c r="C37" s="432"/>
      <c r="D37" s="1726" t="str">
        <f>+A37</f>
        <v>Equipo de transporte:</v>
      </c>
      <c r="E37" s="1727"/>
      <c r="F37" s="1727"/>
      <c r="G37" s="1727"/>
      <c r="H37" s="1727"/>
      <c r="I37" s="1727"/>
      <c r="J37" s="1727"/>
      <c r="K37" s="1727"/>
      <c r="L37" s="1727"/>
      <c r="M37" s="1728"/>
    </row>
    <row r="38" spans="1:13" ht="13.9" customHeight="1" x14ac:dyDescent="0.2">
      <c r="A38" s="420"/>
      <c r="B38" s="640" t="s">
        <v>426</v>
      </c>
      <c r="C38" s="723">
        <v>140000</v>
      </c>
      <c r="D38" s="640"/>
      <c r="E38" s="729"/>
      <c r="F38" s="728">
        <f>+C38</f>
        <v>140000</v>
      </c>
      <c r="G38" s="729"/>
      <c r="H38" s="729"/>
      <c r="I38" s="729"/>
      <c r="J38" s="729">
        <f>+F38</f>
        <v>140000</v>
      </c>
      <c r="K38" s="729"/>
      <c r="L38" s="729"/>
      <c r="M38" s="723"/>
    </row>
    <row r="39" spans="1:13" ht="13.9" customHeight="1" x14ac:dyDescent="0.2">
      <c r="A39" s="420"/>
      <c r="B39" s="640" t="s">
        <v>638</v>
      </c>
      <c r="C39" s="723">
        <v>150000</v>
      </c>
      <c r="D39" s="640"/>
      <c r="E39" s="729">
        <v>180000</v>
      </c>
      <c r="F39" s="728"/>
      <c r="G39" s="729"/>
      <c r="H39" s="729">
        <v>220000</v>
      </c>
      <c r="I39" s="729"/>
      <c r="J39" s="729"/>
      <c r="K39" s="729">
        <v>300000</v>
      </c>
      <c r="L39" s="729"/>
      <c r="M39" s="723"/>
    </row>
    <row r="40" spans="1:13" ht="13.9" customHeight="1" x14ac:dyDescent="0.2">
      <c r="A40" s="420"/>
      <c r="B40" s="740" t="s">
        <v>639</v>
      </c>
      <c r="C40" s="723"/>
      <c r="D40" s="740"/>
      <c r="E40" s="729"/>
      <c r="F40" s="729"/>
      <c r="G40" s="729"/>
      <c r="H40" s="729"/>
      <c r="I40" s="729"/>
      <c r="J40" s="729"/>
      <c r="K40" s="729"/>
      <c r="L40" s="729"/>
      <c r="M40" s="723"/>
    </row>
    <row r="41" spans="1:13" ht="13.9" customHeight="1" x14ac:dyDescent="0.2">
      <c r="A41" s="440" t="s">
        <v>640</v>
      </c>
      <c r="B41" s="423"/>
      <c r="C41" s="424"/>
      <c r="D41" s="422"/>
      <c r="E41" s="423"/>
      <c r="F41" s="423"/>
      <c r="G41" s="423"/>
      <c r="H41" s="423"/>
      <c r="I41" s="423"/>
      <c r="J41" s="423"/>
      <c r="K41" s="423"/>
      <c r="L41" s="423"/>
      <c r="M41" s="424"/>
    </row>
    <row r="42" spans="1:13" ht="13.9" customHeight="1" x14ac:dyDescent="0.2">
      <c r="A42" s="420"/>
      <c r="B42" s="740" t="s">
        <v>641</v>
      </c>
      <c r="C42" s="723"/>
      <c r="D42" s="740">
        <v>150000</v>
      </c>
      <c r="E42" s="729"/>
      <c r="F42" s="729"/>
      <c r="G42" s="729"/>
      <c r="H42" s="729"/>
      <c r="I42" s="729"/>
      <c r="J42" s="729"/>
      <c r="K42" s="729"/>
      <c r="L42" s="729"/>
      <c r="M42" s="723"/>
    </row>
    <row r="43" spans="1:13" ht="13.9" customHeight="1" x14ac:dyDescent="0.2">
      <c r="A43" s="1399"/>
      <c r="B43" s="1400" t="s">
        <v>642</v>
      </c>
      <c r="C43" s="1401"/>
      <c r="D43" s="1400">
        <v>25000</v>
      </c>
      <c r="E43" s="1402"/>
      <c r="F43" s="1402"/>
      <c r="G43" s="1402"/>
      <c r="H43" s="1402"/>
      <c r="I43" s="1402"/>
      <c r="J43" s="1402"/>
      <c r="K43" s="1402"/>
      <c r="L43" s="1402"/>
      <c r="M43" s="1401"/>
    </row>
    <row r="44" spans="1:13" ht="13.9" customHeight="1" x14ac:dyDescent="0.2">
      <c r="A44" s="1399"/>
      <c r="B44" s="1400"/>
      <c r="C44" s="1401"/>
      <c r="D44" s="1400"/>
      <c r="E44" s="1402"/>
      <c r="F44" s="1402"/>
      <c r="G44" s="1402"/>
      <c r="H44" s="1402"/>
      <c r="I44" s="1402"/>
      <c r="J44" s="1402"/>
      <c r="K44" s="1402"/>
      <c r="L44" s="1402"/>
      <c r="M44" s="1401"/>
    </row>
    <row r="45" spans="1:13" ht="13.9" customHeight="1" thickBot="1" x14ac:dyDescent="0.25">
      <c r="A45" s="421" t="s">
        <v>282</v>
      </c>
      <c r="B45" s="425"/>
      <c r="C45" s="426">
        <f>SUM(C38:C44)</f>
        <v>290000</v>
      </c>
      <c r="D45" s="426">
        <f t="shared" ref="D45:M45" si="5">SUM(D38:D44)</f>
        <v>175000</v>
      </c>
      <c r="E45" s="426">
        <f t="shared" si="5"/>
        <v>180000</v>
      </c>
      <c r="F45" s="426">
        <f t="shared" si="5"/>
        <v>140000</v>
      </c>
      <c r="G45" s="426">
        <f t="shared" si="5"/>
        <v>0</v>
      </c>
      <c r="H45" s="426">
        <f t="shared" si="5"/>
        <v>220000</v>
      </c>
      <c r="I45" s="426">
        <f t="shared" si="5"/>
        <v>0</v>
      </c>
      <c r="J45" s="426">
        <f t="shared" si="5"/>
        <v>140000</v>
      </c>
      <c r="K45" s="426">
        <f t="shared" si="5"/>
        <v>300000</v>
      </c>
      <c r="L45" s="426">
        <f t="shared" si="5"/>
        <v>0</v>
      </c>
      <c r="M45" s="426">
        <f t="shared" si="5"/>
        <v>0</v>
      </c>
    </row>
    <row r="46" spans="1:13" s="14" customFormat="1" ht="13.9" customHeight="1" thickBot="1" x14ac:dyDescent="0.25">
      <c r="A46" s="37"/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</row>
    <row r="47" spans="1:13" ht="13.9" customHeight="1" thickBot="1" x14ac:dyDescent="0.25">
      <c r="A47" s="1731" t="s">
        <v>82</v>
      </c>
      <c r="B47" s="1732"/>
      <c r="C47" s="443">
        <f t="shared" ref="C47:M47" si="6">C45+C35+C27+C18+C17</f>
        <v>1174000</v>
      </c>
      <c r="D47" s="444">
        <f t="shared" si="6"/>
        <v>730000</v>
      </c>
      <c r="E47" s="445">
        <f t="shared" si="6"/>
        <v>3710000</v>
      </c>
      <c r="F47" s="445">
        <f t="shared" si="6"/>
        <v>204000</v>
      </c>
      <c r="G47" s="445">
        <f t="shared" si="6"/>
        <v>370000</v>
      </c>
      <c r="H47" s="445">
        <f t="shared" si="6"/>
        <v>415000</v>
      </c>
      <c r="I47" s="445">
        <f t="shared" si="6"/>
        <v>94000</v>
      </c>
      <c r="J47" s="445">
        <f t="shared" si="6"/>
        <v>480000</v>
      </c>
      <c r="K47" s="445">
        <f t="shared" si="6"/>
        <v>345000</v>
      </c>
      <c r="L47" s="445">
        <f t="shared" si="6"/>
        <v>14000</v>
      </c>
      <c r="M47" s="443">
        <f t="shared" si="6"/>
        <v>585000</v>
      </c>
    </row>
    <row r="48" spans="1:13" ht="13.9" customHeight="1" thickBot="1" x14ac:dyDescent="0.25">
      <c r="A48" s="441"/>
      <c r="B48" s="429"/>
      <c r="C48" s="446"/>
      <c r="D48" s="446"/>
      <c r="E48" s="446"/>
      <c r="F48" s="429"/>
      <c r="G48" s="429"/>
      <c r="H48" s="429"/>
      <c r="I48" s="429"/>
      <c r="J48" s="429"/>
      <c r="K48" s="429"/>
      <c r="L48" s="429"/>
      <c r="M48" s="429"/>
    </row>
    <row r="49" spans="1:13" s="19" customFormat="1" ht="16.149999999999999" customHeight="1" thickBot="1" x14ac:dyDescent="0.25">
      <c r="A49" s="1723" t="s">
        <v>30</v>
      </c>
      <c r="B49" s="1724"/>
      <c r="C49" s="1724"/>
      <c r="D49" s="1724"/>
      <c r="E49" s="1724"/>
      <c r="F49" s="1724"/>
      <c r="G49" s="1724"/>
      <c r="H49" s="1724"/>
      <c r="I49" s="1724"/>
      <c r="J49" s="1724"/>
      <c r="K49" s="1724"/>
      <c r="L49" s="1724"/>
      <c r="M49" s="1725"/>
    </row>
    <row r="50" spans="1:13" ht="13.9" customHeight="1" x14ac:dyDescent="0.2">
      <c r="A50" s="447"/>
      <c r="B50" s="448" t="s">
        <v>3</v>
      </c>
      <c r="C50" s="736">
        <v>150000</v>
      </c>
      <c r="D50" s="737"/>
      <c r="E50" s="37"/>
      <c r="F50" s="37"/>
      <c r="G50" s="37"/>
      <c r="H50" s="37"/>
      <c r="I50" s="37"/>
      <c r="J50" s="37"/>
      <c r="K50" s="37"/>
      <c r="L50" s="37"/>
      <c r="M50" s="38"/>
    </row>
    <row r="51" spans="1:13" ht="13.9" customHeight="1" x14ac:dyDescent="0.2">
      <c r="A51" s="420"/>
      <c r="B51" s="419" t="s">
        <v>12</v>
      </c>
      <c r="C51" s="738"/>
      <c r="D51" s="738">
        <v>50000</v>
      </c>
      <c r="E51" s="37"/>
      <c r="F51" s="37"/>
      <c r="G51" s="37"/>
      <c r="H51" s="37"/>
      <c r="I51" s="37"/>
      <c r="J51" s="37"/>
      <c r="K51" s="37"/>
      <c r="L51" s="37"/>
      <c r="M51" s="38"/>
    </row>
    <row r="52" spans="1:13" ht="13.9" customHeight="1" thickBot="1" x14ac:dyDescent="0.25">
      <c r="A52" s="449"/>
      <c r="B52" s="450" t="s">
        <v>4</v>
      </c>
      <c r="C52" s="739"/>
      <c r="D52" s="739">
        <v>25000</v>
      </c>
      <c r="E52" s="37"/>
      <c r="F52" s="37"/>
      <c r="G52" s="37"/>
      <c r="H52" s="37"/>
      <c r="I52" s="37"/>
      <c r="J52" s="37"/>
      <c r="K52" s="37"/>
      <c r="L52" s="37"/>
      <c r="M52" s="38"/>
    </row>
    <row r="53" spans="1:13" ht="13.9" customHeight="1" thickBot="1" x14ac:dyDescent="0.25">
      <c r="A53" s="437" t="s">
        <v>84</v>
      </c>
      <c r="B53" s="438"/>
      <c r="C53" s="451">
        <f>SUM(C50:C52)</f>
        <v>150000</v>
      </c>
      <c r="D53" s="452">
        <f>SUM(D50:D52)</f>
        <v>75000</v>
      </c>
      <c r="E53" s="37"/>
      <c r="F53" s="439"/>
      <c r="G53" s="439"/>
      <c r="H53" s="439"/>
      <c r="I53" s="439"/>
      <c r="J53" s="439"/>
      <c r="K53" s="37"/>
      <c r="L53" s="37"/>
      <c r="M53" s="38"/>
    </row>
    <row r="54" spans="1:13" ht="13.9" customHeight="1" thickBot="1" x14ac:dyDescent="0.25">
      <c r="A54" s="435"/>
      <c r="B54" s="439"/>
      <c r="C54" s="453"/>
      <c r="D54" s="439"/>
      <c r="E54" s="37"/>
      <c r="F54" s="37"/>
      <c r="G54" s="37"/>
      <c r="H54" s="37"/>
      <c r="I54" s="37"/>
      <c r="J54" s="37"/>
      <c r="K54" s="37"/>
      <c r="L54" s="37"/>
      <c r="M54" s="38"/>
    </row>
    <row r="55" spans="1:13" ht="13.9" customHeight="1" thickBot="1" x14ac:dyDescent="0.25">
      <c r="A55" s="444" t="s">
        <v>85</v>
      </c>
      <c r="B55" s="454"/>
      <c r="C55" s="443">
        <f t="shared" ref="C55:M55" si="7">+C53+C47+C14</f>
        <v>1894000</v>
      </c>
      <c r="D55" s="454">
        <f t="shared" si="7"/>
        <v>805000</v>
      </c>
      <c r="E55" s="445">
        <f t="shared" si="7"/>
        <v>3710000</v>
      </c>
      <c r="F55" s="445">
        <f t="shared" si="7"/>
        <v>204000</v>
      </c>
      <c r="G55" s="445">
        <f t="shared" si="7"/>
        <v>370000</v>
      </c>
      <c r="H55" s="445">
        <f t="shared" si="7"/>
        <v>415000</v>
      </c>
      <c r="I55" s="445">
        <f t="shared" si="7"/>
        <v>94000</v>
      </c>
      <c r="J55" s="445">
        <f t="shared" si="7"/>
        <v>480000</v>
      </c>
      <c r="K55" s="445">
        <f t="shared" si="7"/>
        <v>345000</v>
      </c>
      <c r="L55" s="445">
        <f t="shared" si="7"/>
        <v>14000</v>
      </c>
      <c r="M55" s="443">
        <f t="shared" si="7"/>
        <v>585000</v>
      </c>
    </row>
    <row r="58" spans="1:13" ht="15" x14ac:dyDescent="0.3">
      <c r="D58"/>
    </row>
    <row r="74" spans="1:6" x14ac:dyDescent="0.2">
      <c r="A74" s="17"/>
      <c r="B74" s="17"/>
      <c r="C74" s="20"/>
      <c r="D74" s="20"/>
      <c r="E74" s="20"/>
    </row>
    <row r="75" spans="1:6" x14ac:dyDescent="0.2">
      <c r="A75" s="14"/>
      <c r="B75" s="14"/>
      <c r="C75" s="21"/>
      <c r="D75" s="21"/>
      <c r="E75" s="21"/>
    </row>
    <row r="80" spans="1:6" x14ac:dyDescent="0.2">
      <c r="F80" s="22"/>
    </row>
    <row r="81" spans="4:7" x14ac:dyDescent="0.2">
      <c r="D81" s="15"/>
      <c r="E81" s="15"/>
      <c r="F81" s="15"/>
      <c r="G81" s="15"/>
    </row>
    <row r="82" spans="4:7" x14ac:dyDescent="0.2">
      <c r="D82" s="15"/>
      <c r="E82" s="15"/>
      <c r="F82" s="15"/>
      <c r="G82" s="15"/>
    </row>
    <row r="83" spans="4:7" x14ac:dyDescent="0.2">
      <c r="D83" s="15"/>
      <c r="E83" s="15"/>
      <c r="F83" s="15"/>
      <c r="G83" s="15"/>
    </row>
    <row r="84" spans="4:7" x14ac:dyDescent="0.2">
      <c r="D84" s="15"/>
      <c r="E84" s="15"/>
      <c r="F84" s="15"/>
      <c r="G84" s="15"/>
    </row>
    <row r="85" spans="4:7" x14ac:dyDescent="0.2">
      <c r="D85" s="15"/>
      <c r="E85" s="15"/>
      <c r="F85" s="15"/>
      <c r="G85" s="15"/>
    </row>
    <row r="86" spans="4:7" x14ac:dyDescent="0.2">
      <c r="D86" s="15"/>
      <c r="E86" s="15"/>
      <c r="F86" s="15"/>
      <c r="G86" s="15"/>
    </row>
    <row r="87" spans="4:7" x14ac:dyDescent="0.2">
      <c r="D87" s="15"/>
      <c r="E87" s="15"/>
      <c r="F87" s="15"/>
      <c r="G87" s="15"/>
    </row>
    <row r="88" spans="4:7" x14ac:dyDescent="0.2">
      <c r="D88" s="15"/>
      <c r="E88" s="15"/>
      <c r="F88" s="15"/>
      <c r="G88" s="15"/>
    </row>
    <row r="89" spans="4:7" x14ac:dyDescent="0.2">
      <c r="D89" s="15"/>
      <c r="E89" s="15"/>
      <c r="F89" s="15"/>
      <c r="G89" s="15"/>
    </row>
    <row r="90" spans="4:7" x14ac:dyDescent="0.2">
      <c r="D90" s="15"/>
      <c r="E90" s="15"/>
      <c r="F90" s="15"/>
      <c r="G90" s="15"/>
    </row>
    <row r="91" spans="4:7" x14ac:dyDescent="0.2">
      <c r="D91" s="15"/>
      <c r="E91" s="15"/>
      <c r="F91" s="15"/>
      <c r="G91" s="15"/>
    </row>
    <row r="92" spans="4:7" x14ac:dyDescent="0.2">
      <c r="D92" s="15"/>
      <c r="E92" s="15"/>
      <c r="F92" s="15"/>
      <c r="G92" s="15"/>
    </row>
  </sheetData>
  <customSheetViews>
    <customSheetView guid="{8FC2DB0D-4D0A-11D3-9924-0080ADC9B26E}" scale="75" fitToPage="1" showRuler="0">
      <selection sqref="A1:D2"/>
      <pageMargins left="0.98425196850393704" right="0.98425196850393704" top="0.98425196850393704" bottom="0.98425196850393704" header="0" footer="0"/>
      <printOptions horizontalCentered="1" verticalCentered="1"/>
      <pageSetup scale="60" orientation="landscape" blackAndWhite="1" horizontalDpi="300" verticalDpi="360" r:id="rId1"/>
      <headerFooter alignWithMargins="0"/>
    </customSheetView>
  </customSheetViews>
  <mergeCells count="17">
    <mergeCell ref="H1:J1"/>
    <mergeCell ref="K1:M1"/>
    <mergeCell ref="D2:M2"/>
    <mergeCell ref="D4:M4"/>
    <mergeCell ref="A1:C1"/>
    <mergeCell ref="A2:C2"/>
    <mergeCell ref="A4:B5"/>
    <mergeCell ref="C4:C5"/>
    <mergeCell ref="D1:G1"/>
    <mergeCell ref="A7:M7"/>
    <mergeCell ref="A16:M16"/>
    <mergeCell ref="A49:M49"/>
    <mergeCell ref="D37:M37"/>
    <mergeCell ref="A35:B35"/>
    <mergeCell ref="D29:M29"/>
    <mergeCell ref="A47:B47"/>
    <mergeCell ref="D20:M20"/>
  </mergeCells>
  <phoneticPr fontId="20" type="noConversion"/>
  <pageMargins left="0.39370078740157483" right="0.39370078740157483" top="0.78740157480314965" bottom="0.59055118110236227" header="0.39370078740157483" footer="0.39370078740157483"/>
  <pageSetup scale="44" orientation="landscape" blackAndWhite="1" horizontalDpi="4294967293" verticalDpi="4294967293" r:id="rId2"/>
  <headerFooter alignWithMargins="0">
    <oddHeader>&amp;C&amp;"Arial,Negrita"&amp;7Estudio de Factibilidad para el establecimiento de un mercado de mariscos en Hermosillo, Sonora</oddHeader>
    <oddFooter>&amp;L&amp;"Arial,Normal"&amp;7&amp;F - Hoja: &amp;A&amp;C&amp;"Arial,Normal"&amp;7&amp;D&amp;R&amp;"Arial,Normal"&amp;7&amp;P de 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2">
    <tabColor rgb="FF00B050"/>
  </sheetPr>
  <dimension ref="A1:AM24"/>
  <sheetViews>
    <sheetView view="pageBreakPreview" zoomScale="70" zoomScaleNormal="70" zoomScaleSheetLayoutView="70" workbookViewId="0">
      <selection activeCell="C8" sqref="C8"/>
    </sheetView>
  </sheetViews>
  <sheetFormatPr baseColWidth="10" defaultColWidth="9" defaultRowHeight="12.75" x14ac:dyDescent="0.2"/>
  <cols>
    <col min="1" max="1" width="25.25" style="23" customWidth="1"/>
    <col min="2" max="2" width="8.625" style="23" customWidth="1"/>
    <col min="3" max="18" width="10" style="23" customWidth="1"/>
    <col min="19" max="28" width="9.625" style="23" customWidth="1"/>
    <col min="29" max="29" width="11.25" style="23" customWidth="1"/>
    <col min="30" max="39" width="11.5" style="23" customWidth="1"/>
    <col min="40" max="16384" width="9" style="23"/>
  </cols>
  <sheetData>
    <row r="1" spans="1:39" ht="22.15" customHeight="1" thickBot="1" x14ac:dyDescent="0.25">
      <c r="A1" s="1809" t="s">
        <v>296</v>
      </c>
      <c r="B1" s="1810"/>
      <c r="C1" s="1811"/>
      <c r="D1" s="1812" t="str">
        <f>+'19 Resumen'!D4</f>
        <v>La Lasaña de Garfield</v>
      </c>
      <c r="E1" s="1813"/>
      <c r="F1" s="1813"/>
      <c r="G1" s="1813"/>
      <c r="H1" s="1813"/>
      <c r="I1" s="1813"/>
      <c r="J1" s="1813"/>
      <c r="K1" s="1813" t="str">
        <f>+'19 Resumen'!D5</f>
        <v>Martin Delgado</v>
      </c>
      <c r="L1" s="1813"/>
      <c r="M1" s="1813"/>
      <c r="N1" s="1814" t="str">
        <f>+'19 Resumen'!D6</f>
        <v>Grupo Delgado´s</v>
      </c>
      <c r="O1" s="1814"/>
      <c r="P1" s="1815"/>
      <c r="Q1" s="1805" t="str">
        <f>+D1</f>
        <v>La Lasaña de Garfield</v>
      </c>
      <c r="R1" s="1806"/>
      <c r="S1" s="1806"/>
      <c r="T1" s="1806"/>
      <c r="U1" s="1806"/>
      <c r="V1" s="1806"/>
      <c r="W1" s="1806"/>
      <c r="X1" s="1806" t="str">
        <f>+K1</f>
        <v>Martin Delgado</v>
      </c>
      <c r="Y1" s="1806"/>
      <c r="Z1" s="1806"/>
      <c r="AA1" s="1806" t="str">
        <f>+N1</f>
        <v>Grupo Delgado´s</v>
      </c>
      <c r="AB1" s="1806"/>
      <c r="AC1" s="1807"/>
      <c r="AD1" s="1808" t="str">
        <f>+Q1</f>
        <v>La Lasaña de Garfield</v>
      </c>
      <c r="AE1" s="1791"/>
      <c r="AF1" s="1791"/>
      <c r="AG1" s="1791"/>
      <c r="AH1" s="1791" t="str">
        <f>+X1</f>
        <v>Martin Delgado</v>
      </c>
      <c r="AI1" s="1791"/>
      <c r="AJ1" s="1791"/>
      <c r="AK1" s="1791" t="str">
        <f>+AA1</f>
        <v>Grupo Delgado´s</v>
      </c>
      <c r="AL1" s="1791"/>
      <c r="AM1" s="1792"/>
    </row>
    <row r="2" spans="1:39" ht="22.15" customHeight="1" thickBot="1" x14ac:dyDescent="0.25">
      <c r="A2" s="1793">
        <f>+'19 Resumen'!D2</f>
        <v>42747</v>
      </c>
      <c r="B2" s="1794"/>
      <c r="C2" s="1795"/>
      <c r="D2" s="1796" t="s">
        <v>134</v>
      </c>
      <c r="E2" s="1797"/>
      <c r="F2" s="1797"/>
      <c r="G2" s="1797"/>
      <c r="H2" s="1797"/>
      <c r="I2" s="1797"/>
      <c r="J2" s="1797"/>
      <c r="K2" s="1797"/>
      <c r="L2" s="1797"/>
      <c r="M2" s="1797"/>
      <c r="N2" s="1797"/>
      <c r="O2" s="1797"/>
      <c r="P2" s="1798"/>
      <c r="Q2" s="1799" t="str">
        <f>+D2</f>
        <v>Ingresos</v>
      </c>
      <c r="R2" s="1800"/>
      <c r="S2" s="1800"/>
      <c r="T2" s="1800"/>
      <c r="U2" s="1800"/>
      <c r="V2" s="1800"/>
      <c r="W2" s="1800"/>
      <c r="X2" s="1800"/>
      <c r="Y2" s="1800"/>
      <c r="Z2" s="1800"/>
      <c r="AA2" s="1800"/>
      <c r="AB2" s="1800"/>
      <c r="AC2" s="1801"/>
      <c r="AD2" s="1802" t="str">
        <f>+Q2</f>
        <v>Ingresos</v>
      </c>
      <c r="AE2" s="1803"/>
      <c r="AF2" s="1803"/>
      <c r="AG2" s="1803"/>
      <c r="AH2" s="1803"/>
      <c r="AI2" s="1803"/>
      <c r="AJ2" s="1803"/>
      <c r="AK2" s="1803"/>
      <c r="AL2" s="1803"/>
      <c r="AM2" s="1804"/>
    </row>
    <row r="3" spans="1:39" ht="22.15" customHeight="1" thickBot="1" x14ac:dyDescent="0.25">
      <c r="A3" s="385"/>
      <c r="B3" s="1261"/>
      <c r="C3" s="386"/>
      <c r="D3" s="387">
        <v>1</v>
      </c>
      <c r="E3" s="388">
        <f t="shared" ref="E3:O3" si="0">+D3+1</f>
        <v>2</v>
      </c>
      <c r="F3" s="388">
        <f t="shared" si="0"/>
        <v>3</v>
      </c>
      <c r="G3" s="388">
        <f t="shared" si="0"/>
        <v>4</v>
      </c>
      <c r="H3" s="388">
        <f t="shared" si="0"/>
        <v>5</v>
      </c>
      <c r="I3" s="388">
        <f t="shared" si="0"/>
        <v>6</v>
      </c>
      <c r="J3" s="388">
        <f t="shared" si="0"/>
        <v>7</v>
      </c>
      <c r="K3" s="388">
        <f t="shared" si="0"/>
        <v>8</v>
      </c>
      <c r="L3" s="388">
        <f t="shared" si="0"/>
        <v>9</v>
      </c>
      <c r="M3" s="388">
        <f t="shared" si="0"/>
        <v>10</v>
      </c>
      <c r="N3" s="388">
        <f t="shared" si="0"/>
        <v>11</v>
      </c>
      <c r="O3" s="388">
        <f t="shared" si="0"/>
        <v>12</v>
      </c>
      <c r="P3" s="389"/>
      <c r="Q3" s="390">
        <f>+O3+1</f>
        <v>13</v>
      </c>
      <c r="R3" s="388">
        <f t="shared" ref="R3:AB3" si="1">+Q3+1</f>
        <v>14</v>
      </c>
      <c r="S3" s="388">
        <f t="shared" si="1"/>
        <v>15</v>
      </c>
      <c r="T3" s="388">
        <f t="shared" si="1"/>
        <v>16</v>
      </c>
      <c r="U3" s="388">
        <f t="shared" si="1"/>
        <v>17</v>
      </c>
      <c r="V3" s="388">
        <f t="shared" si="1"/>
        <v>18</v>
      </c>
      <c r="W3" s="388">
        <f t="shared" si="1"/>
        <v>19</v>
      </c>
      <c r="X3" s="388">
        <f t="shared" si="1"/>
        <v>20</v>
      </c>
      <c r="Y3" s="388">
        <f t="shared" si="1"/>
        <v>21</v>
      </c>
      <c r="Z3" s="388">
        <f t="shared" si="1"/>
        <v>22</v>
      </c>
      <c r="AA3" s="388">
        <f t="shared" si="1"/>
        <v>23</v>
      </c>
      <c r="AB3" s="388">
        <f t="shared" si="1"/>
        <v>24</v>
      </c>
      <c r="AC3" s="391"/>
      <c r="AD3" s="392"/>
      <c r="AE3" s="393"/>
      <c r="AF3" s="393"/>
      <c r="AG3" s="393"/>
      <c r="AH3" s="393"/>
      <c r="AI3" s="393"/>
      <c r="AJ3" s="393"/>
      <c r="AK3" s="393"/>
      <c r="AL3" s="393"/>
      <c r="AM3" s="391"/>
    </row>
    <row r="4" spans="1:39" ht="15" customHeight="1" thickBot="1" x14ac:dyDescent="0.25">
      <c r="A4" s="1770" t="s">
        <v>362</v>
      </c>
      <c r="B4" s="1788" t="s">
        <v>655</v>
      </c>
      <c r="C4" s="1773" t="s">
        <v>415</v>
      </c>
      <c r="D4" s="1785" t="s">
        <v>626</v>
      </c>
      <c r="E4" s="1786"/>
      <c r="F4" s="1786"/>
      <c r="G4" s="1786"/>
      <c r="H4" s="1786"/>
      <c r="I4" s="1786"/>
      <c r="J4" s="1786"/>
      <c r="K4" s="1786"/>
      <c r="L4" s="1786"/>
      <c r="M4" s="1786"/>
      <c r="N4" s="1786"/>
      <c r="O4" s="1786"/>
      <c r="P4" s="1787"/>
      <c r="Q4" s="1767" t="str">
        <f>+D4</f>
        <v>Platos</v>
      </c>
      <c r="R4" s="1768"/>
      <c r="S4" s="1768"/>
      <c r="T4" s="1768"/>
      <c r="U4" s="1768"/>
      <c r="V4" s="1768"/>
      <c r="W4" s="1768"/>
      <c r="X4" s="1768"/>
      <c r="Y4" s="1768"/>
      <c r="Z4" s="1768"/>
      <c r="AA4" s="1768"/>
      <c r="AB4" s="1768"/>
      <c r="AC4" s="1769"/>
      <c r="AD4" s="1779" t="str">
        <f>+Q4</f>
        <v>Platos</v>
      </c>
      <c r="AE4" s="1779"/>
      <c r="AF4" s="1779"/>
      <c r="AG4" s="1779"/>
      <c r="AH4" s="1779"/>
      <c r="AI4" s="1779"/>
      <c r="AJ4" s="1779"/>
      <c r="AK4" s="1779"/>
      <c r="AL4" s="1779"/>
      <c r="AM4" s="1780"/>
    </row>
    <row r="5" spans="1:39" ht="30.75" customHeight="1" x14ac:dyDescent="0.2">
      <c r="A5" s="1771"/>
      <c r="B5" s="1789"/>
      <c r="C5" s="1774"/>
      <c r="D5" s="1781">
        <f>+AD6</f>
        <v>2017</v>
      </c>
      <c r="E5" s="1782"/>
      <c r="F5" s="1782"/>
      <c r="G5" s="1782"/>
      <c r="H5" s="1782"/>
      <c r="I5" s="1782"/>
      <c r="J5" s="1782"/>
      <c r="K5" s="1782"/>
      <c r="L5" s="1782"/>
      <c r="M5" s="1782"/>
      <c r="N5" s="1782"/>
      <c r="O5" s="1782"/>
      <c r="P5" s="1783" t="s">
        <v>130</v>
      </c>
      <c r="Q5" s="1781">
        <f>+D5+1</f>
        <v>2018</v>
      </c>
      <c r="R5" s="1782"/>
      <c r="S5" s="1782"/>
      <c r="T5" s="1782"/>
      <c r="U5" s="1782"/>
      <c r="V5" s="1782"/>
      <c r="W5" s="1782"/>
      <c r="X5" s="1782"/>
      <c r="Y5" s="1782"/>
      <c r="Z5" s="1782"/>
      <c r="AA5" s="1782"/>
      <c r="AB5" s="1782"/>
      <c r="AC5" s="1783" t="s">
        <v>132</v>
      </c>
      <c r="AD5" s="681" t="s">
        <v>1</v>
      </c>
      <c r="AE5" s="394" t="s">
        <v>1</v>
      </c>
      <c r="AF5" s="394" t="s">
        <v>1</v>
      </c>
      <c r="AG5" s="394" t="s">
        <v>1</v>
      </c>
      <c r="AH5" s="394" t="s">
        <v>1</v>
      </c>
      <c r="AI5" s="394" t="s">
        <v>1</v>
      </c>
      <c r="AJ5" s="394" t="s">
        <v>1</v>
      </c>
      <c r="AK5" s="394" t="s">
        <v>1</v>
      </c>
      <c r="AL5" s="394" t="s">
        <v>1</v>
      </c>
      <c r="AM5" s="395" t="s">
        <v>1</v>
      </c>
    </row>
    <row r="6" spans="1:39" ht="15" customHeight="1" thickBot="1" x14ac:dyDescent="0.35">
      <c r="A6" s="1772"/>
      <c r="B6" s="1790"/>
      <c r="C6" s="1775"/>
      <c r="D6" s="939" t="s">
        <v>60</v>
      </c>
      <c r="E6" s="940" t="s">
        <v>61</v>
      </c>
      <c r="F6" s="940" t="s">
        <v>62</v>
      </c>
      <c r="G6" s="940" t="s">
        <v>63</v>
      </c>
      <c r="H6" s="940" t="s">
        <v>64</v>
      </c>
      <c r="I6" s="940" t="s">
        <v>65</v>
      </c>
      <c r="J6" s="940" t="s">
        <v>66</v>
      </c>
      <c r="K6" s="940" t="s">
        <v>67</v>
      </c>
      <c r="L6" s="940" t="s">
        <v>68</v>
      </c>
      <c r="M6" s="940" t="s">
        <v>69</v>
      </c>
      <c r="N6" s="940" t="s">
        <v>70</v>
      </c>
      <c r="O6" s="940" t="s">
        <v>71</v>
      </c>
      <c r="P6" s="1784"/>
      <c r="Q6" s="500" t="s">
        <v>60</v>
      </c>
      <c r="R6" s="501" t="s">
        <v>61</v>
      </c>
      <c r="S6" s="501" t="s">
        <v>62</v>
      </c>
      <c r="T6" s="501" t="s">
        <v>63</v>
      </c>
      <c r="U6" s="501" t="s">
        <v>64</v>
      </c>
      <c r="V6" s="501" t="s">
        <v>65</v>
      </c>
      <c r="W6" s="501" t="s">
        <v>66</v>
      </c>
      <c r="X6" s="501" t="s">
        <v>67</v>
      </c>
      <c r="Y6" s="501" t="s">
        <v>68</v>
      </c>
      <c r="Z6" s="501" t="s">
        <v>69</v>
      </c>
      <c r="AA6" s="501" t="s">
        <v>70</v>
      </c>
      <c r="AB6" s="501" t="s">
        <v>71</v>
      </c>
      <c r="AC6" s="1784"/>
      <c r="AD6" s="933">
        <f>YEAR('19 Resumen'!$D$3)</f>
        <v>2017</v>
      </c>
      <c r="AE6" s="934">
        <f>+AD6+1</f>
        <v>2018</v>
      </c>
      <c r="AF6" s="934">
        <f t="shared" ref="AF6:AM6" si="2">+AE6+1</f>
        <v>2019</v>
      </c>
      <c r="AG6" s="934">
        <f t="shared" si="2"/>
        <v>2020</v>
      </c>
      <c r="AH6" s="934">
        <f t="shared" si="2"/>
        <v>2021</v>
      </c>
      <c r="AI6" s="934">
        <f t="shared" si="2"/>
        <v>2022</v>
      </c>
      <c r="AJ6" s="934">
        <f t="shared" si="2"/>
        <v>2023</v>
      </c>
      <c r="AK6" s="934">
        <f t="shared" si="2"/>
        <v>2024</v>
      </c>
      <c r="AL6" s="934">
        <f t="shared" si="2"/>
        <v>2025</v>
      </c>
      <c r="AM6" s="935">
        <f t="shared" si="2"/>
        <v>2026</v>
      </c>
    </row>
    <row r="7" spans="1:39" ht="15" customHeight="1" x14ac:dyDescent="0.2">
      <c r="A7" s="1003" t="s">
        <v>413</v>
      </c>
      <c r="B7" s="1262">
        <v>200</v>
      </c>
      <c r="C7" s="1004">
        <v>130</v>
      </c>
      <c r="D7" s="1009">
        <f>IF(D$3&lt;'19 Resumen'!$M$4,0,$B7*'17 Hoja de Trabajo'!B$10*'17 Hoja de Trabajo'!B$11)</f>
        <v>0</v>
      </c>
      <c r="E7" s="1009">
        <f>IF(E$3&lt;'19 Resumen'!$M$4,0,$B7*'17 Hoja de Trabajo'!C$10*'17 Hoja de Trabajo'!C$11)</f>
        <v>0</v>
      </c>
      <c r="F7" s="1009">
        <f>IF(F$3&lt;'19 Resumen'!$M$4,0,$B7*'17 Hoja de Trabajo'!D$10*'17 Hoja de Trabajo'!D$11)</f>
        <v>0</v>
      </c>
      <c r="G7" s="1009">
        <f>IF(G$3&lt;'19 Resumen'!$M$4,0,$B7*'17 Hoja de Trabajo'!E$10*'17 Hoja de Trabajo'!E$11)</f>
        <v>0</v>
      </c>
      <c r="H7" s="1009">
        <f>IF(H$3&lt;'19 Resumen'!$M$4,0,$B7*'17 Hoja de Trabajo'!F$10*'17 Hoja de Trabajo'!F$11)</f>
        <v>0</v>
      </c>
      <c r="I7" s="1009">
        <f>IF(I$3&lt;'19 Resumen'!$M$4,0,$B7*'17 Hoja de Trabajo'!G$10*'17 Hoja de Trabajo'!G$11)</f>
        <v>4800</v>
      </c>
      <c r="J7" s="1009">
        <f>IF(J$3&lt;'19 Resumen'!$M$4,0,$B7*'17 Hoja de Trabajo'!H$10*'17 Hoja de Trabajo'!H$11)</f>
        <v>4340</v>
      </c>
      <c r="K7" s="1009">
        <f>IF(K$3&lt;'19 Resumen'!$M$4,0,$B7*'17 Hoja de Trabajo'!I$10*'17 Hoja de Trabajo'!I$11)</f>
        <v>3720</v>
      </c>
      <c r="L7" s="1009">
        <f>IF(L$3&lt;'19 Resumen'!$M$4,0,$B7*'17 Hoja de Trabajo'!J$10*'17 Hoja de Trabajo'!J$11)</f>
        <v>4200</v>
      </c>
      <c r="M7" s="1009">
        <f>IF(M$3&lt;'19 Resumen'!$M$4,0,$B7*'17 Hoja de Trabajo'!K$10*'17 Hoja de Trabajo'!K$11)</f>
        <v>7440</v>
      </c>
      <c r="N7" s="1009">
        <f>IF(N$3&lt;'19 Resumen'!$M$4,0,$B7*'17 Hoja de Trabajo'!L$10*'17 Hoja de Trabajo'!L$11)</f>
        <v>9000</v>
      </c>
      <c r="O7" s="1009">
        <f>IF(O$3&lt;'19 Resumen'!$M$4,0,$B7*'17 Hoja de Trabajo'!M$10*'17 Hoja de Trabajo'!M$11)</f>
        <v>11160</v>
      </c>
      <c r="P7" s="930">
        <f>SUM(D7:O7)</f>
        <v>44660</v>
      </c>
      <c r="Q7" s="936">
        <f>$B7*'17 Hoja de Trabajo'!B$12*'17 Hoja de Trabajo'!B$10*(1+'19 Resumen'!$E$30)</f>
        <v>4092.0000000000005</v>
      </c>
      <c r="R7" s="936">
        <f>$B7*'17 Hoja de Trabajo'!C$12*'17 Hoja de Trabajo'!C$10*(1+'19 Resumen'!$E$30)</f>
        <v>6160.0000000000009</v>
      </c>
      <c r="S7" s="936">
        <f>$B7*'17 Hoja de Trabajo'!D$12*'17 Hoja de Trabajo'!D$10*(1+'19 Resumen'!$E$30)</f>
        <v>6479.0000000000009</v>
      </c>
      <c r="T7" s="936">
        <f>$B7*'17 Hoja de Trabajo'!E$12*'17 Hoja de Trabajo'!E$10*(1+'19 Resumen'!$E$30)</f>
        <v>6270.0000000000009</v>
      </c>
      <c r="U7" s="936">
        <f>$B7*'17 Hoja de Trabajo'!F$12*'17 Hoja de Trabajo'!F$10*(1+'19 Resumen'!$E$30)</f>
        <v>8184.0000000000009</v>
      </c>
      <c r="V7" s="936">
        <f>$B7*'17 Hoja de Trabajo'!G$12*'17 Hoja de Trabajo'!G$10*(1+'19 Resumen'!$E$30)</f>
        <v>5280</v>
      </c>
      <c r="W7" s="936">
        <f>$B7*'17 Hoja de Trabajo'!H$12*'17 Hoja de Trabajo'!H$10*(1+'19 Resumen'!$E$30)</f>
        <v>4774</v>
      </c>
      <c r="X7" s="936">
        <f>$B7*'17 Hoja de Trabajo'!I$12*'17 Hoja de Trabajo'!I$10*(1+'19 Resumen'!$E$30)</f>
        <v>4092.0000000000005</v>
      </c>
      <c r="Y7" s="936">
        <f>$B7*'17 Hoja de Trabajo'!J$12*'17 Hoja de Trabajo'!J$10*(1+'19 Resumen'!$E$30)</f>
        <v>4620</v>
      </c>
      <c r="Z7" s="936">
        <f>$B7*'17 Hoja de Trabajo'!K$12*'17 Hoja de Trabajo'!K$10*(1+'19 Resumen'!$E$30)</f>
        <v>8184.0000000000009</v>
      </c>
      <c r="AA7" s="936">
        <f>$B7*'17 Hoja de Trabajo'!L$12*'17 Hoja de Trabajo'!L$10*(1+'19 Resumen'!$E$30)</f>
        <v>9900</v>
      </c>
      <c r="AB7" s="936">
        <f>$B7*'17 Hoja de Trabajo'!M$12*'17 Hoja de Trabajo'!M$10*(1+'19 Resumen'!$E$30)</f>
        <v>12276.000000000002</v>
      </c>
      <c r="AC7" s="677">
        <f t="shared" ref="AC7:AC12" si="3">SUM(Q7:AB7)</f>
        <v>80311</v>
      </c>
      <c r="AD7" s="401">
        <f t="shared" ref="AD7:AD13" si="4">+P7</f>
        <v>44660</v>
      </c>
      <c r="AE7" s="402">
        <f t="shared" ref="AE7:AE12" si="5">+AC7</f>
        <v>80311</v>
      </c>
      <c r="AF7" s="402">
        <f>(+AE7)*(1+'19 Resumen'!$F$30)</f>
        <v>88342.1</v>
      </c>
      <c r="AG7" s="402">
        <f>(+AF7)*(1+'19 Resumen'!$G$30)</f>
        <v>97176.310000000012</v>
      </c>
      <c r="AH7" s="402">
        <f>(+AG7)*(1+'19 Resumen'!$H$30)</f>
        <v>106893.94100000002</v>
      </c>
      <c r="AI7" s="402">
        <f>(+AH7)*(1+'19 Resumen'!$I$30)</f>
        <v>115445.45628000003</v>
      </c>
      <c r="AJ7" s="402">
        <f>(+AI7)*(1+'19 Resumen'!$I$30)</f>
        <v>124681.09278240004</v>
      </c>
      <c r="AK7" s="402">
        <f>(+AJ7)*(1+'19 Resumen'!$I$30)</f>
        <v>134655.58020499206</v>
      </c>
      <c r="AL7" s="402">
        <f>(+AK7)*(1+'19 Resumen'!$I$30)</f>
        <v>145428.02662139144</v>
      </c>
      <c r="AM7" s="404">
        <f>(+AL7)*(1+'19 Resumen'!$I$30)</f>
        <v>157062.26875110276</v>
      </c>
    </row>
    <row r="8" spans="1:39" ht="15" customHeight="1" x14ac:dyDescent="0.2">
      <c r="A8" s="1005" t="s">
        <v>627</v>
      </c>
      <c r="B8" s="1263">
        <f>B7*0.7</f>
        <v>140</v>
      </c>
      <c r="C8" s="1006">
        <v>80</v>
      </c>
      <c r="D8" s="1010">
        <f>IF(D$3&lt;'19 Resumen'!$M$4,0,$B8*'17 Hoja de Trabajo'!B$10*'17 Hoja de Trabajo'!B$11)</f>
        <v>0</v>
      </c>
      <c r="E8" s="1010">
        <f>IF(E$3&lt;'19 Resumen'!$M$4,0,$B8*'17 Hoja de Trabajo'!C$10*'17 Hoja de Trabajo'!C$11)</f>
        <v>0</v>
      </c>
      <c r="F8" s="1010">
        <f>IF(F$3&lt;'19 Resumen'!$M$4,0,$B8*'17 Hoja de Trabajo'!D$10*'17 Hoja de Trabajo'!D$11)</f>
        <v>0</v>
      </c>
      <c r="G8" s="1010">
        <f>IF(G$3&lt;'19 Resumen'!$M$4,0,$B8*'17 Hoja de Trabajo'!E$10*'17 Hoja de Trabajo'!E$11)</f>
        <v>0</v>
      </c>
      <c r="H8" s="1010">
        <f>IF(H$3&lt;'19 Resumen'!$M$4,0,$B8*'17 Hoja de Trabajo'!F$10*'17 Hoja de Trabajo'!F$11)</f>
        <v>0</v>
      </c>
      <c r="I8" s="1010">
        <f>IF(I$3&lt;'19 Resumen'!$M$4,0,$B8*'17 Hoja de Trabajo'!G$10*'17 Hoja de Trabajo'!G$11)</f>
        <v>3360</v>
      </c>
      <c r="J8" s="1010">
        <f>IF(J$3&lt;'19 Resumen'!$M$4,0,$B8*'17 Hoja de Trabajo'!H$10*'17 Hoja de Trabajo'!H$11)</f>
        <v>3038</v>
      </c>
      <c r="K8" s="1010">
        <f>IF(K$3&lt;'19 Resumen'!$M$4,0,$B8*'17 Hoja de Trabajo'!I$10*'17 Hoja de Trabajo'!I$11)</f>
        <v>2604</v>
      </c>
      <c r="L8" s="1010">
        <f>IF(L$3&lt;'19 Resumen'!$M$4,0,$B8*'17 Hoja de Trabajo'!J$10*'17 Hoja de Trabajo'!J$11)</f>
        <v>2940</v>
      </c>
      <c r="M8" s="1010">
        <f>IF(M$3&lt;'19 Resumen'!$M$4,0,$B8*'17 Hoja de Trabajo'!K$10*'17 Hoja de Trabajo'!K$11)</f>
        <v>5208</v>
      </c>
      <c r="N8" s="1010">
        <f>IF(N$3&lt;'19 Resumen'!$M$4,0,$B8*'17 Hoja de Trabajo'!L$10*'17 Hoja de Trabajo'!L$11)</f>
        <v>6300</v>
      </c>
      <c r="O8" s="1010">
        <f>IF(O$3&lt;'19 Resumen'!$M$4,0,$B8*'17 Hoja de Trabajo'!M$10*'17 Hoja de Trabajo'!M$11)</f>
        <v>7812</v>
      </c>
      <c r="P8" s="931">
        <f>SUM(D8:O8)</f>
        <v>31262</v>
      </c>
      <c r="Q8" s="937">
        <f>$B8*'17 Hoja de Trabajo'!B$12*'17 Hoja de Trabajo'!B$10*(1+'19 Resumen'!$E$30)</f>
        <v>2864.4</v>
      </c>
      <c r="R8" s="459">
        <f>$B8*'17 Hoja de Trabajo'!C$12*'17 Hoja de Trabajo'!C$10*(1+'19 Resumen'!$E$30)</f>
        <v>4312</v>
      </c>
      <c r="S8" s="459">
        <f>$B8*'17 Hoja de Trabajo'!D$12*'17 Hoja de Trabajo'!D$10*(1+'19 Resumen'!$E$30)</f>
        <v>4535.3</v>
      </c>
      <c r="T8" s="459">
        <f>$B8*'17 Hoja de Trabajo'!E$12*'17 Hoja de Trabajo'!E$10*(1+'19 Resumen'!$E$30)</f>
        <v>4389</v>
      </c>
      <c r="U8" s="459">
        <f>$B8*'17 Hoja de Trabajo'!F$12*'17 Hoja de Trabajo'!F$10*(1+'19 Resumen'!$E$30)</f>
        <v>5728.8</v>
      </c>
      <c r="V8" s="459">
        <f>$B8*'17 Hoja de Trabajo'!G$12*'17 Hoja de Trabajo'!G$10*(1+'19 Resumen'!$E$30)</f>
        <v>3696.0000000000005</v>
      </c>
      <c r="W8" s="459">
        <f>$B8*'17 Hoja de Trabajo'!H$12*'17 Hoja de Trabajo'!H$10*(1+'19 Resumen'!$E$30)</f>
        <v>3341.8</v>
      </c>
      <c r="X8" s="459">
        <f>$B8*'17 Hoja de Trabajo'!I$12*'17 Hoja de Trabajo'!I$10*(1+'19 Resumen'!$E$30)</f>
        <v>2864.4</v>
      </c>
      <c r="Y8" s="459">
        <f>$B8*'17 Hoja de Trabajo'!J$12*'17 Hoja de Trabajo'!J$10*(1+'19 Resumen'!$E$30)</f>
        <v>3234.0000000000005</v>
      </c>
      <c r="Z8" s="459">
        <f>$B8*'17 Hoja de Trabajo'!K$12*'17 Hoja de Trabajo'!K$10*(1+'19 Resumen'!$E$30)</f>
        <v>5728.8</v>
      </c>
      <c r="AA8" s="459">
        <f>$B8*'17 Hoja de Trabajo'!L$12*'17 Hoja de Trabajo'!L$10*(1+'19 Resumen'!$E$30)</f>
        <v>6930.0000000000009</v>
      </c>
      <c r="AB8" s="459">
        <f>$B8*'17 Hoja de Trabajo'!M$12*'17 Hoja de Trabajo'!M$10*(1+'19 Resumen'!$E$30)</f>
        <v>8593.2000000000007</v>
      </c>
      <c r="AC8" s="678">
        <f t="shared" si="3"/>
        <v>56217.700000000012</v>
      </c>
      <c r="AD8" s="405">
        <f>+P8</f>
        <v>31262</v>
      </c>
      <c r="AE8" s="406">
        <f t="shared" si="5"/>
        <v>56217.700000000012</v>
      </c>
      <c r="AF8" s="406">
        <f>(+AE8)*(1+'19 Resumen'!$F$30)</f>
        <v>61839.470000000016</v>
      </c>
      <c r="AG8" s="406">
        <f>(+AF8)*(1+'19 Resumen'!$G$30)</f>
        <v>68023.417000000016</v>
      </c>
      <c r="AH8" s="406">
        <f>(+AG8)*(1+'19 Resumen'!$H$30)</f>
        <v>74825.75870000002</v>
      </c>
      <c r="AI8" s="406">
        <f>(+AH8)*(1+'19 Resumen'!$I$30)</f>
        <v>80811.819396000021</v>
      </c>
      <c r="AJ8" s="406">
        <f>(+AI8)*(1+'19 Resumen'!$I$30)</f>
        <v>87276.764947680029</v>
      </c>
      <c r="AK8" s="406">
        <f>(+AJ8)*(1+'19 Resumen'!$I$30)</f>
        <v>94258.906143494431</v>
      </c>
      <c r="AL8" s="406">
        <f>(+AK8)*(1+'19 Resumen'!$I$30)</f>
        <v>101799.61863497399</v>
      </c>
      <c r="AM8" s="407">
        <f>(+AL8)*(1+'19 Resumen'!$I$30)</f>
        <v>109943.58812577192</v>
      </c>
    </row>
    <row r="9" spans="1:39" ht="15" customHeight="1" x14ac:dyDescent="0.2">
      <c r="A9" s="1005" t="s">
        <v>414</v>
      </c>
      <c r="B9" s="1263">
        <f>B8*0.6</f>
        <v>84</v>
      </c>
      <c r="C9" s="1006">
        <v>75</v>
      </c>
      <c r="D9" s="1010">
        <f>IF(D$3&lt;'19 Resumen'!$M$4,0,$B9*'17 Hoja de Trabajo'!B$10*'17 Hoja de Trabajo'!B$11)</f>
        <v>0</v>
      </c>
      <c r="E9" s="1010">
        <f>IF(E$3&lt;'19 Resumen'!$M$4,0,$B9*'17 Hoja de Trabajo'!C$10*'17 Hoja de Trabajo'!C$11)</f>
        <v>0</v>
      </c>
      <c r="F9" s="1010">
        <f>IF(F$3&lt;'19 Resumen'!$M$4,0,$B9*'17 Hoja de Trabajo'!D$10*'17 Hoja de Trabajo'!D$11)</f>
        <v>0</v>
      </c>
      <c r="G9" s="1010">
        <f>IF(G$3&lt;'19 Resumen'!$M$4,0,$B9*'17 Hoja de Trabajo'!E$10*'17 Hoja de Trabajo'!E$11)</f>
        <v>0</v>
      </c>
      <c r="H9" s="1010">
        <f>IF(H$3&lt;'19 Resumen'!$M$4,0,$B9*'17 Hoja de Trabajo'!F$10*'17 Hoja de Trabajo'!F$11)</f>
        <v>0</v>
      </c>
      <c r="I9" s="1010">
        <f>IF(I$3&lt;'19 Resumen'!$M$4,0,$B9*'17 Hoja de Trabajo'!G$10*'17 Hoja de Trabajo'!G$11)</f>
        <v>2016</v>
      </c>
      <c r="J9" s="1010">
        <f>IF(J$3&lt;'19 Resumen'!$M$4,0,$B9*'17 Hoja de Trabajo'!H$10*'17 Hoja de Trabajo'!H$11)</f>
        <v>1822.8</v>
      </c>
      <c r="K9" s="1010">
        <f>IF(K$3&lt;'19 Resumen'!$M$4,0,$B9*'17 Hoja de Trabajo'!I$10*'17 Hoja de Trabajo'!I$11)</f>
        <v>1562.3999999999999</v>
      </c>
      <c r="L9" s="1010">
        <f>IF(L$3&lt;'19 Resumen'!$M$4,0,$B9*'17 Hoja de Trabajo'!J$10*'17 Hoja de Trabajo'!J$11)</f>
        <v>1764</v>
      </c>
      <c r="M9" s="1010">
        <f>IF(M$3&lt;'19 Resumen'!$M$4,0,$B9*'17 Hoja de Trabajo'!K$10*'17 Hoja de Trabajo'!K$11)</f>
        <v>3124.7999999999997</v>
      </c>
      <c r="N9" s="1010">
        <f>IF(N$3&lt;'19 Resumen'!$M$4,0,$B9*'17 Hoja de Trabajo'!L$10*'17 Hoja de Trabajo'!L$11)</f>
        <v>3780</v>
      </c>
      <c r="O9" s="1010">
        <f>IF(O$3&lt;'19 Resumen'!$M$4,0,$B9*'17 Hoja de Trabajo'!M$10*'17 Hoja de Trabajo'!M$11)</f>
        <v>4687.2000000000007</v>
      </c>
      <c r="P9" s="931">
        <f>SUM(D9:O9)</f>
        <v>18757.2</v>
      </c>
      <c r="Q9" s="937">
        <f>$B9*'17 Hoja de Trabajo'!B$12*'17 Hoja de Trabajo'!B$10*(1+'19 Resumen'!$E$30)</f>
        <v>1718.64</v>
      </c>
      <c r="R9" s="459">
        <f>$B9*'17 Hoja de Trabajo'!C$12*'17 Hoja de Trabajo'!C$10*(1+'19 Resumen'!$E$30)</f>
        <v>2587.2000000000003</v>
      </c>
      <c r="S9" s="459">
        <f>$B9*'17 Hoja de Trabajo'!D$12*'17 Hoja de Trabajo'!D$10*(1+'19 Resumen'!$E$30)</f>
        <v>2721.18</v>
      </c>
      <c r="T9" s="459">
        <f>$B9*'17 Hoja de Trabajo'!E$12*'17 Hoja de Trabajo'!E$10*(1+'19 Resumen'!$E$30)</f>
        <v>2633.4</v>
      </c>
      <c r="U9" s="459">
        <f>$B9*'17 Hoja de Trabajo'!F$12*'17 Hoja de Trabajo'!F$10*(1+'19 Resumen'!$E$30)</f>
        <v>3437.28</v>
      </c>
      <c r="V9" s="459">
        <f>$B9*'17 Hoja de Trabajo'!G$12*'17 Hoja de Trabajo'!G$10*(1+'19 Resumen'!$E$30)</f>
        <v>2217.6000000000004</v>
      </c>
      <c r="W9" s="459">
        <f>$B9*'17 Hoja de Trabajo'!H$12*'17 Hoja de Trabajo'!H$10*(1+'19 Resumen'!$E$30)</f>
        <v>2005.0800000000002</v>
      </c>
      <c r="X9" s="459">
        <f>$B9*'17 Hoja de Trabajo'!I$12*'17 Hoja de Trabajo'!I$10*(1+'19 Resumen'!$E$30)</f>
        <v>1718.64</v>
      </c>
      <c r="Y9" s="459">
        <f>$B9*'17 Hoja de Trabajo'!J$12*'17 Hoja de Trabajo'!J$10*(1+'19 Resumen'!$E$30)</f>
        <v>1940.4</v>
      </c>
      <c r="Z9" s="459">
        <f>$B9*'17 Hoja de Trabajo'!K$12*'17 Hoja de Trabajo'!K$10*(1+'19 Resumen'!$E$30)</f>
        <v>3437.28</v>
      </c>
      <c r="AA9" s="459">
        <f>$B9*'17 Hoja de Trabajo'!L$12*'17 Hoja de Trabajo'!L$10*(1+'19 Resumen'!$E$30)</f>
        <v>4158</v>
      </c>
      <c r="AB9" s="459">
        <f>$B9*'17 Hoja de Trabajo'!M$12*'17 Hoja de Trabajo'!M$10*(1+'19 Resumen'!$E$30)</f>
        <v>5155.92</v>
      </c>
      <c r="AC9" s="678">
        <f t="shared" si="3"/>
        <v>33730.620000000003</v>
      </c>
      <c r="AD9" s="405">
        <f t="shared" si="4"/>
        <v>18757.2</v>
      </c>
      <c r="AE9" s="406">
        <f t="shared" si="5"/>
        <v>33730.620000000003</v>
      </c>
      <c r="AF9" s="406">
        <f>(+AE9)*(1+'19 Resumen'!$F$30)</f>
        <v>37103.682000000008</v>
      </c>
      <c r="AG9" s="406">
        <f>(+AF9)*(1+'19 Resumen'!$G$30)</f>
        <v>40814.050200000012</v>
      </c>
      <c r="AH9" s="406">
        <f>(+AG9)*(1+'19 Resumen'!$H$30)</f>
        <v>44895.455220000018</v>
      </c>
      <c r="AI9" s="406">
        <f>(+AH9)*(1+'19 Resumen'!$I$30)</f>
        <v>48487.091637600024</v>
      </c>
      <c r="AJ9" s="406">
        <f>(+AI9)*(1+'19 Resumen'!$I$30)</f>
        <v>52366.058968608027</v>
      </c>
      <c r="AK9" s="406">
        <f>(+AJ9)*(1+'19 Resumen'!$I$30)</f>
        <v>56555.343686096676</v>
      </c>
      <c r="AL9" s="406">
        <f>(+AK9)*(1+'19 Resumen'!$I$30)</f>
        <v>61079.771180984411</v>
      </c>
      <c r="AM9" s="407">
        <f>(+AL9)*(1+'19 Resumen'!$I$30)</f>
        <v>65966.152875463173</v>
      </c>
    </row>
    <row r="10" spans="1:39" ht="15" customHeight="1" x14ac:dyDescent="0.2">
      <c r="A10" s="1005" t="s">
        <v>630</v>
      </c>
      <c r="B10" s="1263">
        <f>B7*0.45</f>
        <v>90</v>
      </c>
      <c r="C10" s="1006">
        <v>60</v>
      </c>
      <c r="D10" s="1010">
        <f>IF(D$3&lt;'19 Resumen'!$M$4,0,$B10*'17 Hoja de Trabajo'!B$10*'17 Hoja de Trabajo'!B$11)</f>
        <v>0</v>
      </c>
      <c r="E10" s="1010">
        <f>IF(E$3&lt;'19 Resumen'!$M$4,0,$B10*'17 Hoja de Trabajo'!C$10*'17 Hoja de Trabajo'!C$11)</f>
        <v>0</v>
      </c>
      <c r="F10" s="1010">
        <f>IF(F$3&lt;'19 Resumen'!$M$4,0,$B10*'17 Hoja de Trabajo'!D$10*'17 Hoja de Trabajo'!D$11)</f>
        <v>0</v>
      </c>
      <c r="G10" s="1010">
        <f>IF(G$3&lt;'19 Resumen'!$M$4,0,$B10*'17 Hoja de Trabajo'!E$10*'17 Hoja de Trabajo'!E$11)</f>
        <v>0</v>
      </c>
      <c r="H10" s="1010">
        <f>IF(H$3&lt;'19 Resumen'!$M$4,0,$B10*'17 Hoja de Trabajo'!F$10*'17 Hoja de Trabajo'!F$11)</f>
        <v>0</v>
      </c>
      <c r="I10" s="1010">
        <f>IF(I$3&lt;'19 Resumen'!$M$4,0,$B10*'17 Hoja de Trabajo'!G$10*'17 Hoja de Trabajo'!G$11)</f>
        <v>2160</v>
      </c>
      <c r="J10" s="1010">
        <f>IF(J$3&lt;'19 Resumen'!$M$4,0,$B10*'17 Hoja de Trabajo'!H$10*'17 Hoja de Trabajo'!H$11)</f>
        <v>1952.9999999999998</v>
      </c>
      <c r="K10" s="1010">
        <f>IF(K$3&lt;'19 Resumen'!$M$4,0,$B10*'17 Hoja de Trabajo'!I$10*'17 Hoja de Trabajo'!I$11)</f>
        <v>1674</v>
      </c>
      <c r="L10" s="1010">
        <f>IF(L$3&lt;'19 Resumen'!$M$4,0,$B10*'17 Hoja de Trabajo'!J$10*'17 Hoja de Trabajo'!J$11)</f>
        <v>1889.9999999999998</v>
      </c>
      <c r="M10" s="1010">
        <f>IF(M$3&lt;'19 Resumen'!$M$4,0,$B10*'17 Hoja de Trabajo'!K$10*'17 Hoja de Trabajo'!K$11)</f>
        <v>3348</v>
      </c>
      <c r="N10" s="1010">
        <f>IF(N$3&lt;'19 Resumen'!$M$4,0,$B10*'17 Hoja de Trabajo'!L$10*'17 Hoja de Trabajo'!L$11)</f>
        <v>4050</v>
      </c>
      <c r="O10" s="1010">
        <f>IF(O$3&lt;'19 Resumen'!$M$4,0,$B10*'17 Hoja de Trabajo'!M$10*'17 Hoja de Trabajo'!M$11)</f>
        <v>5022</v>
      </c>
      <c r="P10" s="931"/>
      <c r="Q10" s="937">
        <f>$B10*'17 Hoja de Trabajo'!B$12*'17 Hoja de Trabajo'!B$10*(1+'19 Resumen'!$E$30)</f>
        <v>1841.4</v>
      </c>
      <c r="R10" s="459">
        <f>$B10*'17 Hoja de Trabajo'!C$12*'17 Hoja de Trabajo'!C$10*(1+'19 Resumen'!$E$30)</f>
        <v>2772</v>
      </c>
      <c r="S10" s="459">
        <f>$B10*'17 Hoja de Trabajo'!D$12*'17 Hoja de Trabajo'!D$10*(1+'19 Resumen'!$E$30)</f>
        <v>2915.55</v>
      </c>
      <c r="T10" s="459">
        <f>$B10*'17 Hoja de Trabajo'!E$12*'17 Hoja de Trabajo'!E$10*(1+'19 Resumen'!$E$30)</f>
        <v>2821.5000000000005</v>
      </c>
      <c r="U10" s="459">
        <f>$B10*'17 Hoja de Trabajo'!F$12*'17 Hoja de Trabajo'!F$10*(1+'19 Resumen'!$E$30)</f>
        <v>3682.8</v>
      </c>
      <c r="V10" s="459">
        <f>$B10*'17 Hoja de Trabajo'!G$12*'17 Hoja de Trabajo'!G$10*(1+'19 Resumen'!$E$30)</f>
        <v>2376</v>
      </c>
      <c r="W10" s="459">
        <f>$B10*'17 Hoja de Trabajo'!H$12*'17 Hoja de Trabajo'!H$10*(1+'19 Resumen'!$E$30)</f>
        <v>2148.2999999999997</v>
      </c>
      <c r="X10" s="459">
        <f>$B10*'17 Hoja de Trabajo'!I$12*'17 Hoja de Trabajo'!I$10*(1+'19 Resumen'!$E$30)</f>
        <v>1841.4</v>
      </c>
      <c r="Y10" s="459">
        <f>$B10*'17 Hoja de Trabajo'!J$12*'17 Hoja de Trabajo'!J$10*(1+'19 Resumen'!$E$30)</f>
        <v>2079</v>
      </c>
      <c r="Z10" s="459">
        <f>$B10*'17 Hoja de Trabajo'!K$12*'17 Hoja de Trabajo'!K$10*(1+'19 Resumen'!$E$30)</f>
        <v>3682.8</v>
      </c>
      <c r="AA10" s="459">
        <f>$B10*'17 Hoja de Trabajo'!L$12*'17 Hoja de Trabajo'!L$10*(1+'19 Resumen'!$E$30)</f>
        <v>4455</v>
      </c>
      <c r="AB10" s="459">
        <f>$B10*'17 Hoja de Trabajo'!M$12*'17 Hoja de Trabajo'!M$10*(1+'19 Resumen'!$E$30)</f>
        <v>5524.2000000000007</v>
      </c>
      <c r="AC10" s="678">
        <f t="shared" si="3"/>
        <v>36139.949999999997</v>
      </c>
      <c r="AD10" s="405">
        <f t="shared" ref="AD10" si="6">+P10</f>
        <v>0</v>
      </c>
      <c r="AE10" s="406">
        <f t="shared" si="5"/>
        <v>36139.949999999997</v>
      </c>
      <c r="AF10" s="406">
        <f>(+AE10)*(1+'19 Resumen'!$F$30)</f>
        <v>39753.945</v>
      </c>
      <c r="AG10" s="406">
        <f>(+AF10)*(1+'19 Resumen'!$G$30)</f>
        <v>43729.339500000002</v>
      </c>
      <c r="AH10" s="406">
        <f>(+AG10)*(1+'19 Resumen'!$H$30)</f>
        <v>48102.273450000008</v>
      </c>
      <c r="AI10" s="406">
        <f>(+AH10)*(1+'19 Resumen'!$I$30)</f>
        <v>51950.45532600001</v>
      </c>
      <c r="AJ10" s="406">
        <f>(+AI10)*(1+'19 Resumen'!$I$30)</f>
        <v>56106.491752080015</v>
      </c>
      <c r="AK10" s="406">
        <f>(+AJ10)*(1+'19 Resumen'!$I$30)</f>
        <v>60595.011092246423</v>
      </c>
      <c r="AL10" s="406">
        <f>(+AK10)*(1+'19 Resumen'!$I$30)</f>
        <v>65442.611979626141</v>
      </c>
      <c r="AM10" s="407">
        <f>(+AL10)*(1+'19 Resumen'!$I$30)</f>
        <v>70678.020937996233</v>
      </c>
    </row>
    <row r="11" spans="1:39" ht="15" customHeight="1" x14ac:dyDescent="0.2">
      <c r="A11" s="1005" t="s">
        <v>628</v>
      </c>
      <c r="B11" s="1263">
        <f>B7*0.7</f>
        <v>140</v>
      </c>
      <c r="C11" s="1006">
        <v>20</v>
      </c>
      <c r="D11" s="1010">
        <f>IF(D$3&lt;'19 Resumen'!$M$4,0,$B11*'17 Hoja de Trabajo'!B$10*'17 Hoja de Trabajo'!B$11)</f>
        <v>0</v>
      </c>
      <c r="E11" s="1010">
        <f>IF(E$3&lt;'19 Resumen'!$M$4,0,$B11*'17 Hoja de Trabajo'!C$10*'17 Hoja de Trabajo'!C$11)</f>
        <v>0</v>
      </c>
      <c r="F11" s="1010">
        <f>IF(F$3&lt;'19 Resumen'!$M$4,0,$B11*'17 Hoja de Trabajo'!D$10*'17 Hoja de Trabajo'!D$11)</f>
        <v>0</v>
      </c>
      <c r="G11" s="1010">
        <f>IF(G$3&lt;'19 Resumen'!$M$4,0,$B11*'17 Hoja de Trabajo'!E$10*'17 Hoja de Trabajo'!E$11)</f>
        <v>0</v>
      </c>
      <c r="H11" s="1010">
        <f>IF(H$3&lt;'19 Resumen'!$M$4,0,$B11*'17 Hoja de Trabajo'!F$10*'17 Hoja de Trabajo'!F$11)</f>
        <v>0</v>
      </c>
      <c r="I11" s="1010">
        <f>IF(I$3&lt;'19 Resumen'!$M$4,0,$B11*'17 Hoja de Trabajo'!G$10*'17 Hoja de Trabajo'!G$11)</f>
        <v>3360</v>
      </c>
      <c r="J11" s="1010">
        <f>IF(J$3&lt;'19 Resumen'!$M$4,0,$B11*'17 Hoja de Trabajo'!H$10*'17 Hoja de Trabajo'!H$11)</f>
        <v>3038</v>
      </c>
      <c r="K11" s="1010">
        <f>IF(K$3&lt;'19 Resumen'!$M$4,0,$B11*'17 Hoja de Trabajo'!I$10*'17 Hoja de Trabajo'!I$11)</f>
        <v>2604</v>
      </c>
      <c r="L11" s="1010">
        <f>IF(L$3&lt;'19 Resumen'!$M$4,0,$B11*'17 Hoja de Trabajo'!J$10*'17 Hoja de Trabajo'!J$11)</f>
        <v>2940</v>
      </c>
      <c r="M11" s="1010">
        <f>IF(M$3&lt;'19 Resumen'!$M$4,0,$B11*'17 Hoja de Trabajo'!K$10*'17 Hoja de Trabajo'!K$11)</f>
        <v>5208</v>
      </c>
      <c r="N11" s="1010">
        <f>IF(N$3&lt;'19 Resumen'!$M$4,0,$B11*'17 Hoja de Trabajo'!L$10*'17 Hoja de Trabajo'!L$11)</f>
        <v>6300</v>
      </c>
      <c r="O11" s="1010">
        <f>IF(O$3&lt;'19 Resumen'!$M$4,0,$B11*'17 Hoja de Trabajo'!M$10*'17 Hoja de Trabajo'!M$11)</f>
        <v>7812</v>
      </c>
      <c r="P11" s="931">
        <f>SUM(D11:O11)</f>
        <v>31262</v>
      </c>
      <c r="Q11" s="937">
        <f>$B11*'17 Hoja de Trabajo'!B$12*'17 Hoja de Trabajo'!B$10*(1+'19 Resumen'!$E$30)</f>
        <v>2864.4</v>
      </c>
      <c r="R11" s="459">
        <f>$B11*'17 Hoja de Trabajo'!C$12*'17 Hoja de Trabajo'!C$10*(1+'19 Resumen'!$E$30)</f>
        <v>4312</v>
      </c>
      <c r="S11" s="459">
        <f>$B11*'17 Hoja de Trabajo'!D$12*'17 Hoja de Trabajo'!D$10*(1+'19 Resumen'!$E$30)</f>
        <v>4535.3</v>
      </c>
      <c r="T11" s="459">
        <f>$B11*'17 Hoja de Trabajo'!E$12*'17 Hoja de Trabajo'!E$10*(1+'19 Resumen'!$E$30)</f>
        <v>4389</v>
      </c>
      <c r="U11" s="459">
        <f>$B11*'17 Hoja de Trabajo'!F$12*'17 Hoja de Trabajo'!F$10*(1+'19 Resumen'!$E$30)</f>
        <v>5728.8</v>
      </c>
      <c r="V11" s="459">
        <f>$B11*'17 Hoja de Trabajo'!G$12*'17 Hoja de Trabajo'!G$10*(1+'19 Resumen'!$E$30)</f>
        <v>3696.0000000000005</v>
      </c>
      <c r="W11" s="459">
        <f>$B11*'17 Hoja de Trabajo'!H$12*'17 Hoja de Trabajo'!H$10*(1+'19 Resumen'!$E$30)</f>
        <v>3341.8</v>
      </c>
      <c r="X11" s="459">
        <f>$B11*'17 Hoja de Trabajo'!I$12*'17 Hoja de Trabajo'!I$10*(1+'19 Resumen'!$E$30)</f>
        <v>2864.4</v>
      </c>
      <c r="Y11" s="459">
        <f>$B11*'17 Hoja de Trabajo'!J$12*'17 Hoja de Trabajo'!J$10*(1+'19 Resumen'!$E$30)</f>
        <v>3234.0000000000005</v>
      </c>
      <c r="Z11" s="459">
        <f>$B11*'17 Hoja de Trabajo'!K$12*'17 Hoja de Trabajo'!K$10*(1+'19 Resumen'!$E$30)</f>
        <v>5728.8</v>
      </c>
      <c r="AA11" s="459">
        <f>$B11*'17 Hoja de Trabajo'!L$12*'17 Hoja de Trabajo'!L$10*(1+'19 Resumen'!$E$30)</f>
        <v>6930.0000000000009</v>
      </c>
      <c r="AB11" s="459">
        <f>$B11*'17 Hoja de Trabajo'!M$12*'17 Hoja de Trabajo'!M$10*(1+'19 Resumen'!$E$30)</f>
        <v>8593.2000000000007</v>
      </c>
      <c r="AC11" s="678">
        <f t="shared" si="3"/>
        <v>56217.700000000012</v>
      </c>
      <c r="AD11" s="405">
        <f t="shared" si="4"/>
        <v>31262</v>
      </c>
      <c r="AE11" s="406">
        <f t="shared" si="5"/>
        <v>56217.700000000012</v>
      </c>
      <c r="AF11" s="406">
        <f>(+AE11)*(1+'19 Resumen'!$F$30)</f>
        <v>61839.470000000016</v>
      </c>
      <c r="AG11" s="406">
        <f>(+AF11)*(1+'19 Resumen'!$G$30)</f>
        <v>68023.417000000016</v>
      </c>
      <c r="AH11" s="406">
        <f>(+AG11)*(1+'19 Resumen'!$H$30)</f>
        <v>74825.75870000002</v>
      </c>
      <c r="AI11" s="406">
        <f>(+AH11)*(1+'19 Resumen'!$I$30)</f>
        <v>80811.819396000021</v>
      </c>
      <c r="AJ11" s="406">
        <f>(+AI11)*(1+'19 Resumen'!$I$30)</f>
        <v>87276.764947680029</v>
      </c>
      <c r="AK11" s="406">
        <f>(+AJ11)*(1+'19 Resumen'!$I$30)</f>
        <v>94258.906143494431</v>
      </c>
      <c r="AL11" s="406">
        <f>(+AK11)*(1+'19 Resumen'!$I$30)</f>
        <v>101799.61863497399</v>
      </c>
      <c r="AM11" s="407">
        <f>(+AL11)*(1+'19 Resumen'!$I$30)</f>
        <v>109943.58812577192</v>
      </c>
    </row>
    <row r="12" spans="1:39" ht="15" customHeight="1" thickBot="1" x14ac:dyDescent="0.25">
      <c r="A12" s="1007" t="s">
        <v>629</v>
      </c>
      <c r="B12" s="1264">
        <f>B7-B11</f>
        <v>60</v>
      </c>
      <c r="C12" s="1008">
        <v>60</v>
      </c>
      <c r="D12" s="1011">
        <f>IF(D$3&lt;'19 Resumen'!$M$4,0,$B12*'17 Hoja de Trabajo'!B$10*'17 Hoja de Trabajo'!B$11)</f>
        <v>0</v>
      </c>
      <c r="E12" s="1011">
        <f>IF(E$3&lt;'19 Resumen'!$M$4,0,$B12*'17 Hoja de Trabajo'!C$10*'17 Hoja de Trabajo'!C$11)</f>
        <v>0</v>
      </c>
      <c r="F12" s="1011">
        <f>IF(F$3&lt;'19 Resumen'!$M$4,0,$B12*'17 Hoja de Trabajo'!D$10*'17 Hoja de Trabajo'!D$11)</f>
        <v>0</v>
      </c>
      <c r="G12" s="1011">
        <f>IF(G$3&lt;'19 Resumen'!$M$4,0,$B12*'17 Hoja de Trabajo'!E$10*'17 Hoja de Trabajo'!E$11)</f>
        <v>0</v>
      </c>
      <c r="H12" s="1011">
        <f>IF(H$3&lt;'19 Resumen'!$M$4,0,$B12*'17 Hoja de Trabajo'!F$10*'17 Hoja de Trabajo'!F$11)</f>
        <v>0</v>
      </c>
      <c r="I12" s="1011">
        <f>IF(I$3&lt;'19 Resumen'!$M$4,0,$B12*'17 Hoja de Trabajo'!G$10*'17 Hoja de Trabajo'!G$11)</f>
        <v>1440</v>
      </c>
      <c r="J12" s="1011">
        <f>IF(J$3&lt;'19 Resumen'!$M$4,0,$B12*'17 Hoja de Trabajo'!H$10*'17 Hoja de Trabajo'!H$11)</f>
        <v>1302</v>
      </c>
      <c r="K12" s="1011">
        <f>IF(K$3&lt;'19 Resumen'!$M$4,0,$B12*'17 Hoja de Trabajo'!I$10*'17 Hoja de Trabajo'!I$11)</f>
        <v>1116</v>
      </c>
      <c r="L12" s="1011">
        <f>IF(L$3&lt;'19 Resumen'!$M$4,0,$B12*'17 Hoja de Trabajo'!J$10*'17 Hoja de Trabajo'!J$11)</f>
        <v>1260</v>
      </c>
      <c r="M12" s="1011">
        <f>IF(M$3&lt;'19 Resumen'!$M$4,0,$B12*'17 Hoja de Trabajo'!K$10*'17 Hoja de Trabajo'!K$11)</f>
        <v>2232</v>
      </c>
      <c r="N12" s="1011">
        <f>IF(N$3&lt;'19 Resumen'!$M$4,0,$B12*'17 Hoja de Trabajo'!L$10*'17 Hoja de Trabajo'!L$11)</f>
        <v>2700</v>
      </c>
      <c r="O12" s="1011">
        <f>IF(O$3&lt;'19 Resumen'!$M$4,0,$B12*'17 Hoja de Trabajo'!M$10*'17 Hoja de Trabajo'!M$11)</f>
        <v>3348</v>
      </c>
      <c r="P12" s="932">
        <f>SUM(D12:O12)</f>
        <v>13398</v>
      </c>
      <c r="Q12" s="938">
        <f>$B12*'17 Hoja de Trabajo'!B$12*'17 Hoja de Trabajo'!B$10*(1+'19 Resumen'!$E$30)</f>
        <v>1227.6000000000001</v>
      </c>
      <c r="R12" s="631">
        <f>$B12*'17 Hoja de Trabajo'!C$12*'17 Hoja de Trabajo'!C$10*(1+'19 Resumen'!$E$30)</f>
        <v>1848.0000000000002</v>
      </c>
      <c r="S12" s="631">
        <f>$B12*'17 Hoja de Trabajo'!D$12*'17 Hoja de Trabajo'!D$10*(1+'19 Resumen'!$E$30)</f>
        <v>1943.7</v>
      </c>
      <c r="T12" s="631">
        <f>$B12*'17 Hoja de Trabajo'!E$12*'17 Hoja de Trabajo'!E$10*(1+'19 Resumen'!$E$30)</f>
        <v>1881.0000000000002</v>
      </c>
      <c r="U12" s="631">
        <f>$B12*'17 Hoja de Trabajo'!F$12*'17 Hoja de Trabajo'!F$10*(1+'19 Resumen'!$E$30)</f>
        <v>2455.2000000000003</v>
      </c>
      <c r="V12" s="631">
        <f>$B12*'17 Hoja de Trabajo'!G$12*'17 Hoja de Trabajo'!G$10*(1+'19 Resumen'!$E$30)</f>
        <v>1584.0000000000002</v>
      </c>
      <c r="W12" s="631">
        <f>$B12*'17 Hoja de Trabajo'!H$12*'17 Hoja de Trabajo'!H$10*(1+'19 Resumen'!$E$30)</f>
        <v>1432.2</v>
      </c>
      <c r="X12" s="631">
        <f>$B12*'17 Hoja de Trabajo'!I$12*'17 Hoja de Trabajo'!I$10*(1+'19 Resumen'!$E$30)</f>
        <v>1227.6000000000001</v>
      </c>
      <c r="Y12" s="631">
        <f>$B12*'17 Hoja de Trabajo'!J$12*'17 Hoja de Trabajo'!J$10*(1+'19 Resumen'!$E$30)</f>
        <v>1386</v>
      </c>
      <c r="Z12" s="631">
        <f>$B12*'17 Hoja de Trabajo'!K$12*'17 Hoja de Trabajo'!K$10*(1+'19 Resumen'!$E$30)</f>
        <v>2455.2000000000003</v>
      </c>
      <c r="AA12" s="631">
        <f>$B12*'17 Hoja de Trabajo'!L$12*'17 Hoja de Trabajo'!L$10*(1+'19 Resumen'!$E$30)</f>
        <v>2970.0000000000005</v>
      </c>
      <c r="AB12" s="631">
        <f>$B12*'17 Hoja de Trabajo'!M$12*'17 Hoja de Trabajo'!M$10*(1+'19 Resumen'!$E$30)</f>
        <v>3682.8</v>
      </c>
      <c r="AC12" s="679">
        <f t="shared" si="3"/>
        <v>24093.3</v>
      </c>
      <c r="AD12" s="673">
        <f t="shared" si="4"/>
        <v>13398</v>
      </c>
      <c r="AE12" s="408">
        <f t="shared" si="5"/>
        <v>24093.3</v>
      </c>
      <c r="AF12" s="408">
        <f>(+AE12)*(1+'19 Resumen'!$F$30)</f>
        <v>26502.63</v>
      </c>
      <c r="AG12" s="408">
        <f>(+AF12)*(1+'19 Resumen'!$G$30)</f>
        <v>29152.893000000004</v>
      </c>
      <c r="AH12" s="408">
        <f>(+AG12)*(1+'19 Resumen'!$H$30)</f>
        <v>32068.182300000008</v>
      </c>
      <c r="AI12" s="408">
        <f>(+AH12)*(1+'19 Resumen'!$I$30)</f>
        <v>34633.636884000014</v>
      </c>
      <c r="AJ12" s="408">
        <f>(+AI12)*(1+'19 Resumen'!$I$30)</f>
        <v>37404.327834720018</v>
      </c>
      <c r="AK12" s="408">
        <f>(+AJ12)*(1+'19 Resumen'!$I$30)</f>
        <v>40396.674061497622</v>
      </c>
      <c r="AL12" s="408">
        <f>(+AK12)*(1+'19 Resumen'!$I$30)</f>
        <v>43628.407986417435</v>
      </c>
      <c r="AM12" s="409">
        <f>(+AL12)*(1+'19 Resumen'!$I$30)</f>
        <v>47118.680625330831</v>
      </c>
    </row>
    <row r="13" spans="1:39" ht="15" customHeight="1" thickBot="1" x14ac:dyDescent="0.25">
      <c r="A13" s="671"/>
      <c r="B13" s="672"/>
      <c r="C13" s="672"/>
      <c r="D13" s="680"/>
      <c r="E13" s="680"/>
      <c r="F13" s="680"/>
      <c r="G13" s="680"/>
      <c r="H13" s="680"/>
      <c r="I13" s="680"/>
      <c r="J13" s="680"/>
      <c r="K13" s="680"/>
      <c r="L13" s="680"/>
      <c r="M13" s="503"/>
      <c r="N13" s="503"/>
      <c r="O13" s="503"/>
      <c r="P13" s="503"/>
      <c r="Q13" s="502"/>
      <c r="R13" s="503"/>
      <c r="S13" s="503"/>
      <c r="T13" s="503"/>
      <c r="U13" s="503"/>
      <c r="V13" s="503"/>
      <c r="W13" s="503"/>
      <c r="X13" s="503"/>
      <c r="Y13" s="503"/>
      <c r="Z13" s="503"/>
      <c r="AA13" s="503"/>
      <c r="AB13" s="503"/>
      <c r="AC13" s="504"/>
      <c r="AD13" s="680">
        <f t="shared" si="4"/>
        <v>0</v>
      </c>
      <c r="AE13" s="680"/>
      <c r="AF13" s="680"/>
      <c r="AG13" s="680"/>
      <c r="AH13" s="680"/>
      <c r="AI13" s="680"/>
      <c r="AJ13" s="680"/>
      <c r="AK13" s="680"/>
      <c r="AL13" s="680"/>
      <c r="AM13" s="504"/>
    </row>
    <row r="14" spans="1:39" ht="22.15" customHeight="1" thickBot="1" x14ac:dyDescent="0.25">
      <c r="A14" s="1754" t="str">
        <f>+A4</f>
        <v>Servicios</v>
      </c>
      <c r="B14" s="1764"/>
      <c r="C14" s="1757" t="s">
        <v>316</v>
      </c>
      <c r="D14" s="1760" t="s">
        <v>134</v>
      </c>
      <c r="E14" s="1761"/>
      <c r="F14" s="1761"/>
      <c r="G14" s="1761"/>
      <c r="H14" s="1761"/>
      <c r="I14" s="1761"/>
      <c r="J14" s="1761"/>
      <c r="K14" s="1761"/>
      <c r="L14" s="1761"/>
      <c r="M14" s="1761"/>
      <c r="N14" s="1761"/>
      <c r="O14" s="1761"/>
      <c r="P14" s="1762"/>
      <c r="Q14" s="1776" t="s">
        <v>134</v>
      </c>
      <c r="R14" s="1777"/>
      <c r="S14" s="1777"/>
      <c r="T14" s="1777"/>
      <c r="U14" s="1777"/>
      <c r="V14" s="1777"/>
      <c r="W14" s="1777"/>
      <c r="X14" s="1777"/>
      <c r="Y14" s="1777"/>
      <c r="Z14" s="1777"/>
      <c r="AA14" s="1777"/>
      <c r="AB14" s="1777"/>
      <c r="AC14" s="1778"/>
      <c r="AD14" s="1776" t="str">
        <f>+Q14</f>
        <v>Ingresos</v>
      </c>
      <c r="AE14" s="1777"/>
      <c r="AF14" s="1777"/>
      <c r="AG14" s="1777"/>
      <c r="AH14" s="1777"/>
      <c r="AI14" s="1777"/>
      <c r="AJ14" s="1777"/>
      <c r="AK14" s="1777"/>
      <c r="AL14" s="1777"/>
      <c r="AM14" s="1778"/>
    </row>
    <row r="15" spans="1:39" ht="22.15" customHeight="1" x14ac:dyDescent="0.2">
      <c r="A15" s="1755"/>
      <c r="B15" s="1765"/>
      <c r="C15" s="1758"/>
      <c r="D15" s="1763">
        <f>+D5</f>
        <v>2017</v>
      </c>
      <c r="E15" s="1753"/>
      <c r="F15" s="1753"/>
      <c r="G15" s="1753"/>
      <c r="H15" s="1753"/>
      <c r="I15" s="1753"/>
      <c r="J15" s="1753"/>
      <c r="K15" s="1753"/>
      <c r="L15" s="1753"/>
      <c r="M15" s="1753"/>
      <c r="N15" s="1753"/>
      <c r="O15" s="1753"/>
      <c r="P15" s="1750" t="s">
        <v>131</v>
      </c>
      <c r="Q15" s="1752">
        <f>+Q5</f>
        <v>2018</v>
      </c>
      <c r="R15" s="1753"/>
      <c r="S15" s="1753"/>
      <c r="T15" s="1753"/>
      <c r="U15" s="1753"/>
      <c r="V15" s="1753"/>
      <c r="W15" s="1753"/>
      <c r="X15" s="1753"/>
      <c r="Y15" s="1753"/>
      <c r="Z15" s="1753"/>
      <c r="AA15" s="1753"/>
      <c r="AB15" s="1753"/>
      <c r="AC15" s="1750" t="s">
        <v>133</v>
      </c>
      <c r="AD15" s="410" t="str">
        <f t="shared" ref="AD15:AM15" si="7">+AD5</f>
        <v>Total</v>
      </c>
      <c r="AE15" s="411" t="str">
        <f t="shared" si="7"/>
        <v>Total</v>
      </c>
      <c r="AF15" s="411" t="str">
        <f t="shared" si="7"/>
        <v>Total</v>
      </c>
      <c r="AG15" s="411" t="str">
        <f t="shared" si="7"/>
        <v>Total</v>
      </c>
      <c r="AH15" s="411" t="str">
        <f t="shared" si="7"/>
        <v>Total</v>
      </c>
      <c r="AI15" s="411" t="str">
        <f t="shared" si="7"/>
        <v>Total</v>
      </c>
      <c r="AJ15" s="411" t="str">
        <f t="shared" si="7"/>
        <v>Total</v>
      </c>
      <c r="AK15" s="411" t="str">
        <f t="shared" si="7"/>
        <v>Total</v>
      </c>
      <c r="AL15" s="411" t="str">
        <f t="shared" si="7"/>
        <v>Total</v>
      </c>
      <c r="AM15" s="412" t="str">
        <f t="shared" si="7"/>
        <v>Total</v>
      </c>
    </row>
    <row r="16" spans="1:39" ht="22.15" customHeight="1" thickBot="1" x14ac:dyDescent="0.25">
      <c r="A16" s="1756"/>
      <c r="B16" s="1766"/>
      <c r="C16" s="1759"/>
      <c r="D16" s="674" t="str">
        <f>+D6</f>
        <v>Ene</v>
      </c>
      <c r="E16" s="675" t="str">
        <f t="shared" ref="E16:O16" si="8">+E6</f>
        <v>Feb</v>
      </c>
      <c r="F16" s="675" t="str">
        <f t="shared" si="8"/>
        <v>Mar</v>
      </c>
      <c r="G16" s="675" t="str">
        <f t="shared" si="8"/>
        <v>Abr</v>
      </c>
      <c r="H16" s="675" t="str">
        <f t="shared" si="8"/>
        <v>May</v>
      </c>
      <c r="I16" s="675" t="str">
        <f t="shared" si="8"/>
        <v>Jun</v>
      </c>
      <c r="J16" s="675" t="str">
        <f t="shared" si="8"/>
        <v>Jul</v>
      </c>
      <c r="K16" s="675" t="str">
        <f t="shared" si="8"/>
        <v>Ago</v>
      </c>
      <c r="L16" s="675" t="str">
        <f t="shared" si="8"/>
        <v>Sep</v>
      </c>
      <c r="M16" s="675" t="str">
        <f t="shared" si="8"/>
        <v>Oct</v>
      </c>
      <c r="N16" s="675" t="str">
        <f t="shared" si="8"/>
        <v>Nov</v>
      </c>
      <c r="O16" s="675" t="str">
        <f t="shared" si="8"/>
        <v>Dic</v>
      </c>
      <c r="P16" s="1751"/>
      <c r="Q16" s="682" t="str">
        <f>+Q6</f>
        <v>Ene</v>
      </c>
      <c r="R16" s="675" t="str">
        <f t="shared" ref="R16:AB16" si="9">+R6</f>
        <v>Feb</v>
      </c>
      <c r="S16" s="675" t="str">
        <f t="shared" si="9"/>
        <v>Mar</v>
      </c>
      <c r="T16" s="675" t="str">
        <f t="shared" si="9"/>
        <v>Abr</v>
      </c>
      <c r="U16" s="675" t="str">
        <f t="shared" si="9"/>
        <v>May</v>
      </c>
      <c r="V16" s="675" t="str">
        <f t="shared" si="9"/>
        <v>Jun</v>
      </c>
      <c r="W16" s="675" t="str">
        <f t="shared" si="9"/>
        <v>Jul</v>
      </c>
      <c r="X16" s="675" t="str">
        <f t="shared" si="9"/>
        <v>Ago</v>
      </c>
      <c r="Y16" s="675" t="str">
        <f t="shared" si="9"/>
        <v>Sep</v>
      </c>
      <c r="Z16" s="675" t="str">
        <f t="shared" si="9"/>
        <v>Oct</v>
      </c>
      <c r="AA16" s="675" t="str">
        <f t="shared" si="9"/>
        <v>Nov</v>
      </c>
      <c r="AB16" s="675" t="str">
        <f t="shared" si="9"/>
        <v>Dic</v>
      </c>
      <c r="AC16" s="1751"/>
      <c r="AD16" s="683">
        <f t="shared" ref="AD16:AM16" si="10">+AD6</f>
        <v>2017</v>
      </c>
      <c r="AE16" s="684">
        <f t="shared" si="10"/>
        <v>2018</v>
      </c>
      <c r="AF16" s="684">
        <f t="shared" si="10"/>
        <v>2019</v>
      </c>
      <c r="AG16" s="684">
        <f t="shared" si="10"/>
        <v>2020</v>
      </c>
      <c r="AH16" s="684">
        <f t="shared" si="10"/>
        <v>2021</v>
      </c>
      <c r="AI16" s="684">
        <f t="shared" si="10"/>
        <v>2022</v>
      </c>
      <c r="AJ16" s="684">
        <f t="shared" si="10"/>
        <v>2023</v>
      </c>
      <c r="AK16" s="684">
        <f t="shared" si="10"/>
        <v>2024</v>
      </c>
      <c r="AL16" s="684">
        <f t="shared" si="10"/>
        <v>2025</v>
      </c>
      <c r="AM16" s="685">
        <f t="shared" si="10"/>
        <v>2026</v>
      </c>
    </row>
    <row r="17" spans="1:39" ht="15" customHeight="1" x14ac:dyDescent="0.2">
      <c r="A17" s="399" t="str">
        <f>+A7</f>
        <v>Plato fuerte</v>
      </c>
      <c r="B17" s="1265"/>
      <c r="C17" s="942">
        <f>+C7*'19 Resumen'!$L$6</f>
        <v>130</v>
      </c>
      <c r="D17" s="928">
        <f t="shared" ref="D17:O17" si="11">+D7*$C17</f>
        <v>0</v>
      </c>
      <c r="E17" s="402">
        <f t="shared" si="11"/>
        <v>0</v>
      </c>
      <c r="F17" s="402">
        <f t="shared" si="11"/>
        <v>0</v>
      </c>
      <c r="G17" s="402">
        <f t="shared" si="11"/>
        <v>0</v>
      </c>
      <c r="H17" s="402">
        <f t="shared" si="11"/>
        <v>0</v>
      </c>
      <c r="I17" s="402">
        <f t="shared" si="11"/>
        <v>624000</v>
      </c>
      <c r="J17" s="402">
        <f t="shared" si="11"/>
        <v>564200</v>
      </c>
      <c r="K17" s="402">
        <f t="shared" si="11"/>
        <v>483600</v>
      </c>
      <c r="L17" s="402">
        <f t="shared" si="11"/>
        <v>546000</v>
      </c>
      <c r="M17" s="402">
        <f t="shared" si="11"/>
        <v>967200</v>
      </c>
      <c r="N17" s="402">
        <f t="shared" si="11"/>
        <v>1170000</v>
      </c>
      <c r="O17" s="402">
        <f t="shared" si="11"/>
        <v>1450800</v>
      </c>
      <c r="P17" s="930">
        <f>IF($C17=0, 0,SUM(D17:O17))</f>
        <v>5805800</v>
      </c>
      <c r="Q17" s="928">
        <f t="shared" ref="Q17:AB17" si="12">+Q7*$C17</f>
        <v>531960.00000000012</v>
      </c>
      <c r="R17" s="402">
        <f t="shared" si="12"/>
        <v>800800.00000000012</v>
      </c>
      <c r="S17" s="402">
        <f t="shared" si="12"/>
        <v>842270.00000000012</v>
      </c>
      <c r="T17" s="402">
        <f t="shared" si="12"/>
        <v>815100.00000000012</v>
      </c>
      <c r="U17" s="402">
        <f t="shared" si="12"/>
        <v>1063920.0000000002</v>
      </c>
      <c r="V17" s="402">
        <f t="shared" si="12"/>
        <v>686400</v>
      </c>
      <c r="W17" s="402">
        <f t="shared" si="12"/>
        <v>620620</v>
      </c>
      <c r="X17" s="402">
        <f t="shared" si="12"/>
        <v>531960.00000000012</v>
      </c>
      <c r="Y17" s="402">
        <f t="shared" si="12"/>
        <v>600600</v>
      </c>
      <c r="Z17" s="402">
        <f t="shared" si="12"/>
        <v>1063920.0000000002</v>
      </c>
      <c r="AA17" s="402">
        <f t="shared" si="12"/>
        <v>1287000</v>
      </c>
      <c r="AB17" s="402">
        <f t="shared" si="12"/>
        <v>1595880.0000000002</v>
      </c>
      <c r="AC17" s="677">
        <f>IF($C17=0, 0,SUM(Q17:AB17))</f>
        <v>10440430</v>
      </c>
      <c r="AD17" s="401">
        <f t="shared" ref="AD17:AM17" si="13">+AD7*$C17</f>
        <v>5805800</v>
      </c>
      <c r="AE17" s="402">
        <f t="shared" si="13"/>
        <v>10440430</v>
      </c>
      <c r="AF17" s="402">
        <f t="shared" si="13"/>
        <v>11484473</v>
      </c>
      <c r="AG17" s="402">
        <f t="shared" si="13"/>
        <v>12632920.300000001</v>
      </c>
      <c r="AH17" s="402">
        <f t="shared" si="13"/>
        <v>13896212.330000002</v>
      </c>
      <c r="AI17" s="402">
        <f t="shared" si="13"/>
        <v>15007909.316400003</v>
      </c>
      <c r="AJ17" s="402">
        <f t="shared" si="13"/>
        <v>16208542.061712004</v>
      </c>
      <c r="AK17" s="402">
        <f t="shared" si="13"/>
        <v>17505225.426648967</v>
      </c>
      <c r="AL17" s="402">
        <f t="shared" si="13"/>
        <v>18905643.460780889</v>
      </c>
      <c r="AM17" s="404">
        <f t="shared" si="13"/>
        <v>20418094.93764336</v>
      </c>
    </row>
    <row r="18" spans="1:39" ht="15" customHeight="1" x14ac:dyDescent="0.2">
      <c r="A18" s="400" t="str">
        <f>+A8</f>
        <v>Ensaladas</v>
      </c>
      <c r="B18" s="1266"/>
      <c r="C18" s="943">
        <f>+C8*'19 Resumen'!$L$6</f>
        <v>80</v>
      </c>
      <c r="D18" s="929">
        <f t="shared" ref="D18:O18" si="14">+D8*$C18</f>
        <v>0</v>
      </c>
      <c r="E18" s="406">
        <f t="shared" si="14"/>
        <v>0</v>
      </c>
      <c r="F18" s="406">
        <f t="shared" si="14"/>
        <v>0</v>
      </c>
      <c r="G18" s="406">
        <f t="shared" si="14"/>
        <v>0</v>
      </c>
      <c r="H18" s="406">
        <f t="shared" si="14"/>
        <v>0</v>
      </c>
      <c r="I18" s="406">
        <f t="shared" si="14"/>
        <v>268800</v>
      </c>
      <c r="J18" s="406">
        <f t="shared" si="14"/>
        <v>243040</v>
      </c>
      <c r="K18" s="406">
        <f t="shared" si="14"/>
        <v>208320</v>
      </c>
      <c r="L18" s="406">
        <f t="shared" si="14"/>
        <v>235200</v>
      </c>
      <c r="M18" s="406">
        <f t="shared" si="14"/>
        <v>416640</v>
      </c>
      <c r="N18" s="406">
        <f t="shared" si="14"/>
        <v>504000</v>
      </c>
      <c r="O18" s="406">
        <f t="shared" si="14"/>
        <v>624960</v>
      </c>
      <c r="P18" s="931">
        <f>IF($C18=0, 0,SUM(D18:O18))</f>
        <v>2500960</v>
      </c>
      <c r="Q18" s="929">
        <f t="shared" ref="Q18:AB18" si="15">+Q8*$C18</f>
        <v>229152</v>
      </c>
      <c r="R18" s="406">
        <f t="shared" si="15"/>
        <v>344960</v>
      </c>
      <c r="S18" s="406">
        <f t="shared" si="15"/>
        <v>362824</v>
      </c>
      <c r="T18" s="406">
        <f t="shared" si="15"/>
        <v>351120</v>
      </c>
      <c r="U18" s="406">
        <f t="shared" si="15"/>
        <v>458304</v>
      </c>
      <c r="V18" s="406">
        <f t="shared" si="15"/>
        <v>295680.00000000006</v>
      </c>
      <c r="W18" s="406">
        <f t="shared" si="15"/>
        <v>267344</v>
      </c>
      <c r="X18" s="406">
        <f t="shared" si="15"/>
        <v>229152</v>
      </c>
      <c r="Y18" s="406">
        <f t="shared" si="15"/>
        <v>258720.00000000003</v>
      </c>
      <c r="Z18" s="406">
        <f t="shared" si="15"/>
        <v>458304</v>
      </c>
      <c r="AA18" s="406">
        <f t="shared" si="15"/>
        <v>554400.00000000012</v>
      </c>
      <c r="AB18" s="406">
        <f t="shared" si="15"/>
        <v>687456</v>
      </c>
      <c r="AC18" s="678">
        <f>IF($C18=0, 0,SUM(Q18:AB18))</f>
        <v>4497416</v>
      </c>
      <c r="AD18" s="405">
        <f t="shared" ref="AD18:AM18" si="16">+AD8*$C18</f>
        <v>2500960</v>
      </c>
      <c r="AE18" s="406">
        <f t="shared" si="16"/>
        <v>4497416.0000000009</v>
      </c>
      <c r="AF18" s="406">
        <f t="shared" si="16"/>
        <v>4947157.6000000015</v>
      </c>
      <c r="AG18" s="406">
        <f t="shared" si="16"/>
        <v>5441873.3600000013</v>
      </c>
      <c r="AH18" s="406">
        <f t="shared" si="16"/>
        <v>5986060.6960000014</v>
      </c>
      <c r="AI18" s="406">
        <f t="shared" si="16"/>
        <v>6464945.5516800014</v>
      </c>
      <c r="AJ18" s="406">
        <f t="shared" si="16"/>
        <v>6982141.1958144028</v>
      </c>
      <c r="AK18" s="406">
        <f t="shared" si="16"/>
        <v>7540712.4914795542</v>
      </c>
      <c r="AL18" s="406">
        <f t="shared" si="16"/>
        <v>8143969.4907979192</v>
      </c>
      <c r="AM18" s="407">
        <f t="shared" si="16"/>
        <v>8795487.050061753</v>
      </c>
    </row>
    <row r="19" spans="1:39" ht="15" customHeight="1" x14ac:dyDescent="0.2">
      <c r="A19" s="400" t="str">
        <f>+A9</f>
        <v>Entradas</v>
      </c>
      <c r="B19" s="1266"/>
      <c r="C19" s="943">
        <f>+C9*'19 Resumen'!$L$6</f>
        <v>75</v>
      </c>
      <c r="D19" s="929">
        <f t="shared" ref="D19:O19" si="17">+D9*$C19</f>
        <v>0</v>
      </c>
      <c r="E19" s="406">
        <f t="shared" si="17"/>
        <v>0</v>
      </c>
      <c r="F19" s="406">
        <f t="shared" si="17"/>
        <v>0</v>
      </c>
      <c r="G19" s="406">
        <f t="shared" si="17"/>
        <v>0</v>
      </c>
      <c r="H19" s="406">
        <f t="shared" si="17"/>
        <v>0</v>
      </c>
      <c r="I19" s="406">
        <f t="shared" si="17"/>
        <v>151200</v>
      </c>
      <c r="J19" s="406">
        <f t="shared" si="17"/>
        <v>136710</v>
      </c>
      <c r="K19" s="406">
        <f t="shared" si="17"/>
        <v>117179.99999999999</v>
      </c>
      <c r="L19" s="406">
        <f t="shared" si="17"/>
        <v>132300</v>
      </c>
      <c r="M19" s="406">
        <f t="shared" si="17"/>
        <v>234359.99999999997</v>
      </c>
      <c r="N19" s="406">
        <f t="shared" si="17"/>
        <v>283500</v>
      </c>
      <c r="O19" s="406">
        <f t="shared" si="17"/>
        <v>351540.00000000006</v>
      </c>
      <c r="P19" s="931">
        <f>IF($C19=0, 0,SUM(D19:O19))</f>
        <v>1406790</v>
      </c>
      <c r="Q19" s="929">
        <f t="shared" ref="Q19:AB19" si="18">+Q9*$C19</f>
        <v>128898.00000000001</v>
      </c>
      <c r="R19" s="406">
        <f t="shared" si="18"/>
        <v>194040.00000000003</v>
      </c>
      <c r="S19" s="406">
        <f t="shared" si="18"/>
        <v>204088.5</v>
      </c>
      <c r="T19" s="406">
        <f t="shared" si="18"/>
        <v>197505</v>
      </c>
      <c r="U19" s="406">
        <f t="shared" si="18"/>
        <v>257796.00000000003</v>
      </c>
      <c r="V19" s="406">
        <f t="shared" si="18"/>
        <v>166320.00000000003</v>
      </c>
      <c r="W19" s="406">
        <f t="shared" si="18"/>
        <v>150381</v>
      </c>
      <c r="X19" s="406">
        <f t="shared" si="18"/>
        <v>128898.00000000001</v>
      </c>
      <c r="Y19" s="406">
        <f t="shared" si="18"/>
        <v>145530</v>
      </c>
      <c r="Z19" s="406">
        <f t="shared" si="18"/>
        <v>257796.00000000003</v>
      </c>
      <c r="AA19" s="406">
        <f t="shared" si="18"/>
        <v>311850</v>
      </c>
      <c r="AB19" s="406">
        <f t="shared" si="18"/>
        <v>386694</v>
      </c>
      <c r="AC19" s="678">
        <f>IF($C19=0, 0,SUM(Q19:AB19))</f>
        <v>2529796.5</v>
      </c>
      <c r="AD19" s="405">
        <f t="shared" ref="AD19:AM19" si="19">+AD9*$C19</f>
        <v>1406790</v>
      </c>
      <c r="AE19" s="406">
        <f t="shared" si="19"/>
        <v>2529796.5</v>
      </c>
      <c r="AF19" s="406">
        <f t="shared" si="19"/>
        <v>2782776.1500000004</v>
      </c>
      <c r="AG19" s="406">
        <f t="shared" si="19"/>
        <v>3061053.7650000011</v>
      </c>
      <c r="AH19" s="406">
        <f t="shared" si="19"/>
        <v>3367159.1415000013</v>
      </c>
      <c r="AI19" s="406">
        <f t="shared" si="19"/>
        <v>3636531.872820002</v>
      </c>
      <c r="AJ19" s="406">
        <f t="shared" si="19"/>
        <v>3927454.4226456019</v>
      </c>
      <c r="AK19" s="406">
        <f t="shared" si="19"/>
        <v>4241650.776457251</v>
      </c>
      <c r="AL19" s="406">
        <f t="shared" si="19"/>
        <v>4580982.8385738311</v>
      </c>
      <c r="AM19" s="407">
        <f t="shared" si="19"/>
        <v>4947461.4656597376</v>
      </c>
    </row>
    <row r="20" spans="1:39" ht="15" customHeight="1" x14ac:dyDescent="0.2">
      <c r="A20" s="400" t="str">
        <f>+A11</f>
        <v>Bebidas sin licor</v>
      </c>
      <c r="B20" s="1266"/>
      <c r="C20" s="943">
        <f>+C10*'19 Resumen'!$L$6</f>
        <v>60</v>
      </c>
      <c r="D20" s="929">
        <f t="shared" ref="D20:O20" si="20">+D11*$C20</f>
        <v>0</v>
      </c>
      <c r="E20" s="406">
        <f t="shared" si="20"/>
        <v>0</v>
      </c>
      <c r="F20" s="406">
        <f t="shared" si="20"/>
        <v>0</v>
      </c>
      <c r="G20" s="406">
        <f t="shared" si="20"/>
        <v>0</v>
      </c>
      <c r="H20" s="406">
        <f t="shared" si="20"/>
        <v>0</v>
      </c>
      <c r="I20" s="406">
        <f t="shared" si="20"/>
        <v>201600</v>
      </c>
      <c r="J20" s="406">
        <f t="shared" si="20"/>
        <v>182280</v>
      </c>
      <c r="K20" s="406">
        <f t="shared" si="20"/>
        <v>156240</v>
      </c>
      <c r="L20" s="406">
        <f t="shared" si="20"/>
        <v>176400</v>
      </c>
      <c r="M20" s="406">
        <f t="shared" si="20"/>
        <v>312480</v>
      </c>
      <c r="N20" s="406">
        <f t="shared" si="20"/>
        <v>378000</v>
      </c>
      <c r="O20" s="406">
        <f t="shared" si="20"/>
        <v>468720</v>
      </c>
      <c r="P20" s="931">
        <f>IF($C20=0, 0,SUM(D20:O20))</f>
        <v>1875720</v>
      </c>
      <c r="Q20" s="929">
        <f t="shared" ref="Q20:AB20" si="21">+Q11*$C20</f>
        <v>171864</v>
      </c>
      <c r="R20" s="406">
        <f t="shared" si="21"/>
        <v>258720</v>
      </c>
      <c r="S20" s="406">
        <f t="shared" si="21"/>
        <v>272118</v>
      </c>
      <c r="T20" s="406">
        <f t="shared" si="21"/>
        <v>263340</v>
      </c>
      <c r="U20" s="406">
        <f t="shared" si="21"/>
        <v>343728</v>
      </c>
      <c r="V20" s="406">
        <f t="shared" si="21"/>
        <v>221760.00000000003</v>
      </c>
      <c r="W20" s="406">
        <f t="shared" si="21"/>
        <v>200508</v>
      </c>
      <c r="X20" s="406">
        <f t="shared" si="21"/>
        <v>171864</v>
      </c>
      <c r="Y20" s="406">
        <f t="shared" si="21"/>
        <v>194040.00000000003</v>
      </c>
      <c r="Z20" s="406">
        <f t="shared" si="21"/>
        <v>343728</v>
      </c>
      <c r="AA20" s="406">
        <f t="shared" si="21"/>
        <v>415800.00000000006</v>
      </c>
      <c r="AB20" s="406">
        <f t="shared" si="21"/>
        <v>515592.00000000006</v>
      </c>
      <c r="AC20" s="678">
        <f>IF($C20=0, 0,SUM(Q20:AB20))</f>
        <v>3373062</v>
      </c>
      <c r="AD20" s="405">
        <f t="shared" ref="AD20:AM20" si="22">+AD11*$C20</f>
        <v>1875720</v>
      </c>
      <c r="AE20" s="406">
        <f t="shared" si="22"/>
        <v>3373062.0000000009</v>
      </c>
      <c r="AF20" s="406">
        <f t="shared" si="22"/>
        <v>3710368.2000000011</v>
      </c>
      <c r="AG20" s="406">
        <f t="shared" si="22"/>
        <v>4081405.0200000009</v>
      </c>
      <c r="AH20" s="406">
        <f t="shared" si="22"/>
        <v>4489545.5220000008</v>
      </c>
      <c r="AI20" s="406">
        <f t="shared" si="22"/>
        <v>4848709.1637600008</v>
      </c>
      <c r="AJ20" s="406">
        <f t="shared" si="22"/>
        <v>5236605.8968608016</v>
      </c>
      <c r="AK20" s="406">
        <f t="shared" si="22"/>
        <v>5655534.3686096659</v>
      </c>
      <c r="AL20" s="406">
        <f t="shared" si="22"/>
        <v>6107977.1180984396</v>
      </c>
      <c r="AM20" s="407">
        <f t="shared" si="22"/>
        <v>6596615.2875463152</v>
      </c>
    </row>
    <row r="21" spans="1:39" ht="15" customHeight="1" thickBot="1" x14ac:dyDescent="0.25">
      <c r="A21" s="400" t="str">
        <f>+A12</f>
        <v>Bebidas con licor</v>
      </c>
      <c r="B21" s="1266"/>
      <c r="C21" s="943">
        <f>+C11*'19 Resumen'!$L$6</f>
        <v>20</v>
      </c>
      <c r="D21" s="929">
        <f t="shared" ref="D21:O21" si="23">+D12*$C21</f>
        <v>0</v>
      </c>
      <c r="E21" s="406">
        <f t="shared" si="23"/>
        <v>0</v>
      </c>
      <c r="F21" s="406">
        <f t="shared" si="23"/>
        <v>0</v>
      </c>
      <c r="G21" s="406">
        <f t="shared" si="23"/>
        <v>0</v>
      </c>
      <c r="H21" s="406">
        <f t="shared" si="23"/>
        <v>0</v>
      </c>
      <c r="I21" s="406">
        <f t="shared" si="23"/>
        <v>28800</v>
      </c>
      <c r="J21" s="406">
        <f t="shared" si="23"/>
        <v>26040</v>
      </c>
      <c r="K21" s="406">
        <f t="shared" si="23"/>
        <v>22320</v>
      </c>
      <c r="L21" s="406">
        <f t="shared" si="23"/>
        <v>25200</v>
      </c>
      <c r="M21" s="406">
        <f t="shared" si="23"/>
        <v>44640</v>
      </c>
      <c r="N21" s="406">
        <f t="shared" si="23"/>
        <v>54000</v>
      </c>
      <c r="O21" s="406">
        <f t="shared" si="23"/>
        <v>66960</v>
      </c>
      <c r="P21" s="931">
        <f>IF($C21=0, 0,SUM(D21:O21))</f>
        <v>267960</v>
      </c>
      <c r="Q21" s="929">
        <f t="shared" ref="Q21:AB21" si="24">+Q12*$C21</f>
        <v>24552.000000000004</v>
      </c>
      <c r="R21" s="406">
        <f t="shared" si="24"/>
        <v>36960.000000000007</v>
      </c>
      <c r="S21" s="406">
        <f t="shared" si="24"/>
        <v>38874</v>
      </c>
      <c r="T21" s="406">
        <f t="shared" si="24"/>
        <v>37620.000000000007</v>
      </c>
      <c r="U21" s="406">
        <f t="shared" si="24"/>
        <v>49104.000000000007</v>
      </c>
      <c r="V21" s="406">
        <f t="shared" si="24"/>
        <v>31680.000000000004</v>
      </c>
      <c r="W21" s="406">
        <f t="shared" si="24"/>
        <v>28644</v>
      </c>
      <c r="X21" s="406">
        <f t="shared" si="24"/>
        <v>24552.000000000004</v>
      </c>
      <c r="Y21" s="406">
        <f t="shared" si="24"/>
        <v>27720</v>
      </c>
      <c r="Z21" s="406">
        <f t="shared" si="24"/>
        <v>49104.000000000007</v>
      </c>
      <c r="AA21" s="406">
        <f t="shared" si="24"/>
        <v>59400.000000000007</v>
      </c>
      <c r="AB21" s="406">
        <f t="shared" si="24"/>
        <v>73656</v>
      </c>
      <c r="AC21" s="678">
        <f>IF($C21=0, 0,SUM(Q21:AB21))</f>
        <v>481866.00000000006</v>
      </c>
      <c r="AD21" s="673">
        <f t="shared" ref="AD21:AM21" si="25">+AD12*$C21</f>
        <v>267960</v>
      </c>
      <c r="AE21" s="408">
        <f t="shared" si="25"/>
        <v>481866</v>
      </c>
      <c r="AF21" s="408">
        <f t="shared" si="25"/>
        <v>530052.6</v>
      </c>
      <c r="AG21" s="408">
        <f t="shared" si="25"/>
        <v>583057.8600000001</v>
      </c>
      <c r="AH21" s="408">
        <f t="shared" si="25"/>
        <v>641363.64600000018</v>
      </c>
      <c r="AI21" s="408">
        <f t="shared" si="25"/>
        <v>692672.73768000025</v>
      </c>
      <c r="AJ21" s="408">
        <f t="shared" si="25"/>
        <v>748086.55669440038</v>
      </c>
      <c r="AK21" s="408">
        <f t="shared" si="25"/>
        <v>807933.48122995242</v>
      </c>
      <c r="AL21" s="408">
        <f t="shared" si="25"/>
        <v>872568.15972834872</v>
      </c>
      <c r="AM21" s="409">
        <f t="shared" si="25"/>
        <v>942373.61250661663</v>
      </c>
    </row>
    <row r="22" spans="1:39" ht="15" customHeight="1" thickBot="1" x14ac:dyDescent="0.25">
      <c r="A22" s="1025" t="s">
        <v>94</v>
      </c>
      <c r="B22" s="1267"/>
      <c r="C22" s="1026">
        <f>+C12*'19 Resumen'!$L$6</f>
        <v>60</v>
      </c>
      <c r="D22" s="1024">
        <f t="shared" ref="D22:AM22" si="26">SUM(D17:D21)</f>
        <v>0</v>
      </c>
      <c r="E22" s="941">
        <f t="shared" si="26"/>
        <v>0</v>
      </c>
      <c r="F22" s="941">
        <f t="shared" si="26"/>
        <v>0</v>
      </c>
      <c r="G22" s="941">
        <f t="shared" si="26"/>
        <v>0</v>
      </c>
      <c r="H22" s="941">
        <f t="shared" si="26"/>
        <v>0</v>
      </c>
      <c r="I22" s="941">
        <f t="shared" si="26"/>
        <v>1274400</v>
      </c>
      <c r="J22" s="941">
        <f t="shared" si="26"/>
        <v>1152270</v>
      </c>
      <c r="K22" s="941">
        <f t="shared" si="26"/>
        <v>987660</v>
      </c>
      <c r="L22" s="941">
        <f t="shared" si="26"/>
        <v>1115100</v>
      </c>
      <c r="M22" s="941">
        <f t="shared" si="26"/>
        <v>1975320</v>
      </c>
      <c r="N22" s="941">
        <f t="shared" si="26"/>
        <v>2389500</v>
      </c>
      <c r="O22" s="941">
        <f t="shared" si="26"/>
        <v>2962980</v>
      </c>
      <c r="P22" s="941">
        <f t="shared" si="26"/>
        <v>11857230</v>
      </c>
      <c r="Q22" s="941">
        <f t="shared" si="26"/>
        <v>1086426</v>
      </c>
      <c r="R22" s="941">
        <f t="shared" si="26"/>
        <v>1635480</v>
      </c>
      <c r="S22" s="941">
        <f t="shared" si="26"/>
        <v>1720174.5</v>
      </c>
      <c r="T22" s="941">
        <f t="shared" si="26"/>
        <v>1664685</v>
      </c>
      <c r="U22" s="941">
        <f t="shared" si="26"/>
        <v>2172852</v>
      </c>
      <c r="V22" s="941">
        <f t="shared" si="26"/>
        <v>1401840</v>
      </c>
      <c r="W22" s="941">
        <f t="shared" si="26"/>
        <v>1267497</v>
      </c>
      <c r="X22" s="941">
        <f t="shared" si="26"/>
        <v>1086426</v>
      </c>
      <c r="Y22" s="941">
        <f t="shared" si="26"/>
        <v>1226610</v>
      </c>
      <c r="Z22" s="941">
        <f t="shared" si="26"/>
        <v>2172852</v>
      </c>
      <c r="AA22" s="941">
        <f t="shared" si="26"/>
        <v>2628450</v>
      </c>
      <c r="AB22" s="941">
        <f t="shared" si="26"/>
        <v>3259278</v>
      </c>
      <c r="AC22" s="941">
        <f t="shared" si="26"/>
        <v>21322570.5</v>
      </c>
      <c r="AD22" s="941">
        <f t="shared" si="26"/>
        <v>11857230</v>
      </c>
      <c r="AE22" s="941">
        <f t="shared" si="26"/>
        <v>21322570.5</v>
      </c>
      <c r="AF22" s="941">
        <f t="shared" si="26"/>
        <v>23454827.550000004</v>
      </c>
      <c r="AG22" s="941">
        <f t="shared" si="26"/>
        <v>25800310.305000003</v>
      </c>
      <c r="AH22" s="941">
        <f t="shared" si="26"/>
        <v>28380341.335500006</v>
      </c>
      <c r="AI22" s="941">
        <f t="shared" si="26"/>
        <v>30650768.642340008</v>
      </c>
      <c r="AJ22" s="941">
        <f t="shared" si="26"/>
        <v>33102830.133727208</v>
      </c>
      <c r="AK22" s="941">
        <f t="shared" si="26"/>
        <v>35751056.544425391</v>
      </c>
      <c r="AL22" s="941">
        <f t="shared" si="26"/>
        <v>38611141.067979425</v>
      </c>
      <c r="AM22" s="941">
        <f t="shared" si="26"/>
        <v>41700032.353417777</v>
      </c>
    </row>
    <row r="23" spans="1:39" ht="15" customHeight="1" thickBot="1" x14ac:dyDescent="0.25">
      <c r="A23" s="396"/>
      <c r="B23" s="396"/>
      <c r="C23" s="396"/>
      <c r="D23" s="396"/>
      <c r="E23" s="396"/>
      <c r="F23" s="396"/>
      <c r="G23" s="396"/>
      <c r="H23" s="396"/>
      <c r="I23" s="396"/>
      <c r="J23" s="396"/>
      <c r="K23" s="396"/>
      <c r="L23" s="396"/>
      <c r="M23" s="396"/>
      <c r="N23" s="396"/>
      <c r="O23" s="396"/>
      <c r="P23" s="396"/>
      <c r="Q23" s="396"/>
      <c r="R23" s="396"/>
      <c r="S23" s="396"/>
      <c r="T23" s="396"/>
      <c r="U23" s="396"/>
      <c r="V23" s="396"/>
      <c r="W23" s="396"/>
      <c r="X23" s="396"/>
      <c r="Y23" s="396"/>
      <c r="Z23" s="396"/>
      <c r="AA23" s="396"/>
      <c r="AB23" s="396"/>
      <c r="AC23" s="396"/>
      <c r="AD23" s="396"/>
      <c r="AE23" s="396"/>
      <c r="AF23" s="396"/>
      <c r="AG23" s="396"/>
      <c r="AH23" s="396"/>
      <c r="AI23" s="396"/>
      <c r="AJ23" s="396"/>
      <c r="AK23" s="396"/>
      <c r="AL23" s="396"/>
      <c r="AM23" s="396"/>
    </row>
    <row r="24" spans="1:39" ht="15" customHeight="1" thickBot="1" x14ac:dyDescent="0.25">
      <c r="A24" s="396"/>
      <c r="B24" s="396"/>
      <c r="C24" s="396"/>
      <c r="D24" s="1270" t="str">
        <f>IF(D3&lt;'19 Resumen'!$M$4, "No Ventas", "OK")</f>
        <v>No Ventas</v>
      </c>
      <c r="E24" s="1270" t="str">
        <f>IF(E3&lt;'19 Resumen'!$M$4, "No Ventas", "OK")</f>
        <v>No Ventas</v>
      </c>
      <c r="F24" s="1270" t="str">
        <f>IF(F3&lt;'19 Resumen'!$M$4, "No Ventas", "OK")</f>
        <v>No Ventas</v>
      </c>
      <c r="G24" s="1270" t="str">
        <f>IF(G3&lt;'19 Resumen'!$M$4, "No Ventas", "OK")</f>
        <v>No Ventas</v>
      </c>
      <c r="H24" s="1270" t="str">
        <f>IF(H3&lt;'19 Resumen'!$M$4, "No Ventas", "OK")</f>
        <v>No Ventas</v>
      </c>
      <c r="I24" s="1270" t="str">
        <f>IF(I3&lt;'19 Resumen'!$M$4, "No Ventas", "OK")</f>
        <v>OK</v>
      </c>
      <c r="J24" s="1270" t="str">
        <f>IF(J3&lt;'19 Resumen'!$M$4, "No Ventas", "OK")</f>
        <v>OK</v>
      </c>
      <c r="K24" s="1270" t="str">
        <f>IF(K3&lt;'19 Resumen'!$M$4, "No Ventas", "OK")</f>
        <v>OK</v>
      </c>
      <c r="L24" s="1270" t="str">
        <f>IF(L3&lt;'19 Resumen'!$M$4, "No Ventas", "OK")</f>
        <v>OK</v>
      </c>
      <c r="M24" s="1270" t="str">
        <f>IF(M3&lt;'19 Resumen'!$M$4, "No Ventas", "OK")</f>
        <v>OK</v>
      </c>
      <c r="N24" s="1270" t="str">
        <f>IF(N3&lt;'19 Resumen'!$M$4, "No Ventas", "OK")</f>
        <v>OK</v>
      </c>
      <c r="O24" s="1270" t="str">
        <f>IF(O3&lt;'19 Resumen'!$M$4, "No Ventas", "OK")</f>
        <v>OK</v>
      </c>
      <c r="P24" s="396"/>
      <c r="Q24" s="397" t="str">
        <f>IF(Q3&lt;'19 Resumen'!$M$3, "No inicia", "OK")</f>
        <v>OK</v>
      </c>
      <c r="R24" s="398" t="str">
        <f>IF(R3&lt;'19 Resumen'!$M$3, "No inicia", "OK")</f>
        <v>OK</v>
      </c>
      <c r="S24" s="398" t="str">
        <f>IF(S3&lt;'19 Resumen'!$M$3, "No inicia", "OK")</f>
        <v>OK</v>
      </c>
      <c r="T24" s="398" t="str">
        <f>IF(T3&lt;'19 Resumen'!$M$3, "No inicia", "OK")</f>
        <v>OK</v>
      </c>
      <c r="U24" s="398" t="str">
        <f>IF(U3&lt;'19 Resumen'!$M$3, "No inicia", "OK")</f>
        <v>OK</v>
      </c>
      <c r="V24" s="398" t="str">
        <f>IF(V3&lt;'19 Resumen'!$M$3, "No inicia", "OK")</f>
        <v>OK</v>
      </c>
      <c r="W24" s="398" t="str">
        <f>IF(W3&lt;'19 Resumen'!$M$3, "No inicia", "OK")</f>
        <v>OK</v>
      </c>
      <c r="X24" s="398" t="str">
        <f>IF(X3&lt;'19 Resumen'!$M$3, "No inicia", "OK")</f>
        <v>OK</v>
      </c>
      <c r="Y24" s="398" t="str">
        <f>IF(Y3&lt;'19 Resumen'!$M$3, "No inicia", "OK")</f>
        <v>OK</v>
      </c>
      <c r="Z24" s="398" t="str">
        <f>IF(Z3&lt;'19 Resumen'!$M$3, "No inicia", "OK")</f>
        <v>OK</v>
      </c>
      <c r="AA24" s="398" t="str">
        <f>IF(AA3&lt;'19 Resumen'!$M$3, "No inicia", "OK")</f>
        <v>OK</v>
      </c>
      <c r="AB24" s="403" t="str">
        <f>IF(AB3&lt;'19 Resumen'!$M$3, "No inicia", "OK")</f>
        <v>OK</v>
      </c>
      <c r="AC24" s="396"/>
      <c r="AD24" s="413">
        <f>+P22</f>
        <v>11857230</v>
      </c>
      <c r="AE24" s="414">
        <f t="shared" ref="AE24:AM24" si="27">+AE22/AD22-1</f>
        <v>0.79827586206896561</v>
      </c>
      <c r="AF24" s="414">
        <f t="shared" si="27"/>
        <v>0.10000000000000031</v>
      </c>
      <c r="AG24" s="414">
        <f t="shared" si="27"/>
        <v>9.9999999999999867E-2</v>
      </c>
      <c r="AH24" s="414">
        <f t="shared" si="27"/>
        <v>0.10000000000000009</v>
      </c>
      <c r="AI24" s="414">
        <f t="shared" si="27"/>
        <v>8.0000000000000071E-2</v>
      </c>
      <c r="AJ24" s="414">
        <f t="shared" si="27"/>
        <v>8.0000000000000071E-2</v>
      </c>
      <c r="AK24" s="414">
        <f t="shared" si="27"/>
        <v>8.0000000000000293E-2</v>
      </c>
      <c r="AL24" s="414">
        <f t="shared" si="27"/>
        <v>8.0000000000000071E-2</v>
      </c>
      <c r="AM24" s="415">
        <f t="shared" si="27"/>
        <v>7.9999999999999849E-2</v>
      </c>
    </row>
  </sheetData>
  <customSheetViews>
    <customSheetView guid="{8FC2DB0D-4D0A-11D3-9924-0080ADC9B26E}" scale="75" fitToPage="1" hiddenRows="1" showRuler="0">
      <selection activeCell="N32" sqref="N32"/>
      <pageMargins left="0.98425196850393704" right="0.98425196850393704" top="0.98425196850393704" bottom="0.98425196850393704" header="0" footer="0"/>
      <printOptions horizontalCentered="1" verticalCentered="1"/>
      <pageSetup scale="55" orientation="landscape" blackAndWhite="1" horizontalDpi="300" verticalDpi="360" r:id="rId1"/>
      <headerFooter alignWithMargins="0">
        <oddFooter>&amp;L&amp;D&amp;R&amp;8Proyectos Especiales
SPDy GP</oddFooter>
      </headerFooter>
    </customSheetView>
  </customSheetViews>
  <mergeCells count="34">
    <mergeCell ref="AK1:AM1"/>
    <mergeCell ref="A2:C2"/>
    <mergeCell ref="D2:P2"/>
    <mergeCell ref="Q2:AC2"/>
    <mergeCell ref="AD2:AM2"/>
    <mergeCell ref="Q1:W1"/>
    <mergeCell ref="X1:Z1"/>
    <mergeCell ref="AA1:AC1"/>
    <mergeCell ref="AD1:AG1"/>
    <mergeCell ref="A1:C1"/>
    <mergeCell ref="D1:J1"/>
    <mergeCell ref="K1:M1"/>
    <mergeCell ref="N1:P1"/>
    <mergeCell ref="AH1:AJ1"/>
    <mergeCell ref="Q4:AC4"/>
    <mergeCell ref="A4:A6"/>
    <mergeCell ref="C4:C6"/>
    <mergeCell ref="Q14:AC14"/>
    <mergeCell ref="AD4:AM4"/>
    <mergeCell ref="D5:O5"/>
    <mergeCell ref="P5:P6"/>
    <mergeCell ref="Q5:AB5"/>
    <mergeCell ref="AC5:AC6"/>
    <mergeCell ref="D4:P4"/>
    <mergeCell ref="AD14:AM14"/>
    <mergeCell ref="B4:B6"/>
    <mergeCell ref="P15:P16"/>
    <mergeCell ref="Q15:AB15"/>
    <mergeCell ref="AC15:AC16"/>
    <mergeCell ref="A14:A16"/>
    <mergeCell ref="C14:C16"/>
    <mergeCell ref="D14:P14"/>
    <mergeCell ref="D15:O15"/>
    <mergeCell ref="B14:B16"/>
  </mergeCells>
  <phoneticPr fontId="20" type="noConversion"/>
  <pageMargins left="0.39370078740157483" right="0.39370078740157483" top="0.78740157480314965" bottom="0.59055118110236227" header="0.39370078740157483" footer="0.39370078740157483"/>
  <pageSetup scale="52" fitToWidth="3" orientation="landscape" blackAndWhite="1" horizontalDpi="4294967293" verticalDpi="4294967293" r:id="rId2"/>
  <headerFooter alignWithMargins="0">
    <oddHeader>&amp;C&amp;"Arial,Negrita"&amp;7Estudio de Factibilidad para el establecimiento de un mercado de mariscos en Hermosillo, Sonora</oddHeader>
    <oddFooter>&amp;L&amp;"Arial,Normal"&amp;7&amp;F - Hoja: &amp;A&amp;C&amp;"Arial,Normal"&amp;7&amp;D&amp;R&amp;"Arial,Normal"&amp;7&amp;P de  &amp;N</oddFooter>
  </headerFooter>
  <colBreaks count="2" manualBreakCount="2">
    <brk id="16" max="30" man="1"/>
    <brk id="29" max="30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111">
    <tabColor rgb="FF00B050"/>
  </sheetPr>
  <dimension ref="A1:AN53"/>
  <sheetViews>
    <sheetView view="pageBreakPreview" zoomScale="63" zoomScaleNormal="60" zoomScaleSheetLayoutView="63" workbookViewId="0">
      <pane xSplit="4" ySplit="6" topLeftCell="E7" activePane="bottomRight" state="frozen"/>
      <selection activeCell="K44" sqref="K44"/>
      <selection pane="topRight" activeCell="K44" sqref="K44"/>
      <selection pane="bottomLeft" activeCell="K44" sqref="K44"/>
      <selection pane="bottomRight" activeCell="I57" sqref="I57"/>
    </sheetView>
  </sheetViews>
  <sheetFormatPr baseColWidth="10" defaultColWidth="9" defaultRowHeight="12.75" x14ac:dyDescent="0.2"/>
  <cols>
    <col min="1" max="1" width="27.625" style="1" customWidth="1"/>
    <col min="2" max="4" width="11" style="1" customWidth="1"/>
    <col min="5" max="16" width="11.75" style="1" customWidth="1"/>
    <col min="17" max="17" width="13.125" style="1" customWidth="1"/>
    <col min="18" max="29" width="11.75" style="1" customWidth="1"/>
    <col min="30" max="30" width="13.125" style="1" customWidth="1"/>
    <col min="31" max="40" width="15.25" style="1" customWidth="1"/>
    <col min="41" max="16384" width="9" style="1"/>
  </cols>
  <sheetData>
    <row r="1" spans="1:40" ht="21.6" customHeight="1" x14ac:dyDescent="0.2">
      <c r="A1" s="1453" t="s">
        <v>374</v>
      </c>
      <c r="B1" s="1454"/>
      <c r="C1" s="1454"/>
      <c r="D1" s="1455"/>
      <c r="E1" s="1642" t="str">
        <f>+'19 Resumen'!D4</f>
        <v>La Lasaña de Garfield</v>
      </c>
      <c r="F1" s="1643"/>
      <c r="G1" s="1643"/>
      <c r="H1" s="1643"/>
      <c r="I1" s="1643"/>
      <c r="J1" s="1643"/>
      <c r="K1" s="1643"/>
      <c r="L1" s="1643" t="str">
        <f>+'19 Resumen'!D5</f>
        <v>Martin Delgado</v>
      </c>
      <c r="M1" s="1643"/>
      <c r="N1" s="1643"/>
      <c r="O1" s="1643" t="str">
        <f>+'19 Resumen'!D6</f>
        <v>Grupo Delgado´s</v>
      </c>
      <c r="P1" s="1643"/>
      <c r="Q1" s="1652"/>
      <c r="R1" s="1642" t="str">
        <f>+E1</f>
        <v>La Lasaña de Garfield</v>
      </c>
      <c r="S1" s="1643"/>
      <c r="T1" s="1643"/>
      <c r="U1" s="1643"/>
      <c r="V1" s="1643"/>
      <c r="W1" s="1643"/>
      <c r="X1" s="1643"/>
      <c r="Y1" s="1643" t="str">
        <f>+L1</f>
        <v>Martin Delgado</v>
      </c>
      <c r="Z1" s="1643"/>
      <c r="AA1" s="1643"/>
      <c r="AB1" s="1643" t="str">
        <f>+O1</f>
        <v>Grupo Delgado´s</v>
      </c>
      <c r="AC1" s="1643"/>
      <c r="AD1" s="1652"/>
      <c r="AE1" s="1623" t="str">
        <f>+R1</f>
        <v>La Lasaña de Garfield</v>
      </c>
      <c r="AF1" s="1624"/>
      <c r="AG1" s="1624"/>
      <c r="AH1" s="1624"/>
      <c r="AI1" s="1624" t="str">
        <f>+Y1</f>
        <v>Martin Delgado</v>
      </c>
      <c r="AJ1" s="1624"/>
      <c r="AK1" s="1624"/>
      <c r="AL1" s="1624" t="str">
        <f>+AB1</f>
        <v>Grupo Delgado´s</v>
      </c>
      <c r="AM1" s="1624"/>
      <c r="AN1" s="1633"/>
    </row>
    <row r="2" spans="1:40" ht="21.6" customHeight="1" thickBot="1" x14ac:dyDescent="0.25">
      <c r="A2" s="1816">
        <f>+'19 Resumen'!D2</f>
        <v>42747</v>
      </c>
      <c r="B2" s="1817"/>
      <c r="C2" s="1817"/>
      <c r="D2" s="1818"/>
      <c r="E2" s="1634" t="s">
        <v>193</v>
      </c>
      <c r="F2" s="1635"/>
      <c r="G2" s="1635"/>
      <c r="H2" s="1635"/>
      <c r="I2" s="1635"/>
      <c r="J2" s="1635"/>
      <c r="K2" s="1635"/>
      <c r="L2" s="1635"/>
      <c r="M2" s="1635"/>
      <c r="N2" s="1635"/>
      <c r="O2" s="1635"/>
      <c r="P2" s="1635"/>
      <c r="Q2" s="1636"/>
      <c r="R2" s="1634" t="str">
        <f>+E2</f>
        <v>Gastos de Administración</v>
      </c>
      <c r="S2" s="1635"/>
      <c r="T2" s="1635"/>
      <c r="U2" s="1635"/>
      <c r="V2" s="1635"/>
      <c r="W2" s="1635"/>
      <c r="X2" s="1635"/>
      <c r="Y2" s="1635"/>
      <c r="Z2" s="1635"/>
      <c r="AA2" s="1635"/>
      <c r="AB2" s="1635"/>
      <c r="AC2" s="1635"/>
      <c r="AD2" s="1636"/>
      <c r="AE2" s="1637" t="str">
        <f>+R2</f>
        <v>Gastos de Administración</v>
      </c>
      <c r="AF2" s="1638"/>
      <c r="AG2" s="1638"/>
      <c r="AH2" s="1638"/>
      <c r="AI2" s="1638"/>
      <c r="AJ2" s="1638"/>
      <c r="AK2" s="1638"/>
      <c r="AL2" s="1638"/>
      <c r="AM2" s="1638"/>
      <c r="AN2" s="1639"/>
    </row>
    <row r="3" spans="1:40" ht="21.6" hidden="1" customHeight="1" thickBot="1" x14ac:dyDescent="0.25">
      <c r="A3" s="194"/>
      <c r="B3" s="195"/>
      <c r="C3" s="77"/>
      <c r="D3" s="76"/>
      <c r="E3" s="197">
        <v>1</v>
      </c>
      <c r="F3" s="198">
        <f t="shared" ref="F3:P3" si="0">+E3+1</f>
        <v>2</v>
      </c>
      <c r="G3" s="198">
        <f t="shared" si="0"/>
        <v>3</v>
      </c>
      <c r="H3" s="198">
        <f t="shared" si="0"/>
        <v>4</v>
      </c>
      <c r="I3" s="198">
        <f t="shared" si="0"/>
        <v>5</v>
      </c>
      <c r="J3" s="198">
        <f t="shared" si="0"/>
        <v>6</v>
      </c>
      <c r="K3" s="198">
        <f t="shared" si="0"/>
        <v>7</v>
      </c>
      <c r="L3" s="198">
        <f t="shared" si="0"/>
        <v>8</v>
      </c>
      <c r="M3" s="198">
        <f t="shared" si="0"/>
        <v>9</v>
      </c>
      <c r="N3" s="198">
        <f t="shared" si="0"/>
        <v>10</v>
      </c>
      <c r="O3" s="198">
        <f t="shared" si="0"/>
        <v>11</v>
      </c>
      <c r="P3" s="198">
        <f t="shared" si="0"/>
        <v>12</v>
      </c>
      <c r="Q3" s="199"/>
      <c r="R3" s="200">
        <f>+P3+1</f>
        <v>13</v>
      </c>
      <c r="S3" s="198">
        <f t="shared" ref="S3:AC3" si="1">+R3+1</f>
        <v>14</v>
      </c>
      <c r="T3" s="198">
        <f t="shared" si="1"/>
        <v>15</v>
      </c>
      <c r="U3" s="198">
        <f t="shared" si="1"/>
        <v>16</v>
      </c>
      <c r="V3" s="198">
        <f t="shared" si="1"/>
        <v>17</v>
      </c>
      <c r="W3" s="198">
        <f t="shared" si="1"/>
        <v>18</v>
      </c>
      <c r="X3" s="198">
        <f t="shared" si="1"/>
        <v>19</v>
      </c>
      <c r="Y3" s="198">
        <f t="shared" si="1"/>
        <v>20</v>
      </c>
      <c r="Z3" s="198">
        <f t="shared" si="1"/>
        <v>21</v>
      </c>
      <c r="AA3" s="198">
        <f t="shared" si="1"/>
        <v>22</v>
      </c>
      <c r="AB3" s="198">
        <f t="shared" si="1"/>
        <v>23</v>
      </c>
      <c r="AC3" s="198">
        <f t="shared" si="1"/>
        <v>24</v>
      </c>
      <c r="AD3" s="201"/>
      <c r="AE3" s="202"/>
      <c r="AF3" s="203"/>
      <c r="AG3" s="203"/>
      <c r="AH3" s="203"/>
      <c r="AI3" s="203"/>
      <c r="AJ3" s="203"/>
      <c r="AK3" s="203"/>
      <c r="AL3" s="203"/>
      <c r="AM3" s="203"/>
      <c r="AN3" s="201"/>
    </row>
    <row r="4" spans="1:40" ht="21.6" customHeight="1" thickBot="1" x14ac:dyDescent="0.25">
      <c r="A4" s="1640" t="s">
        <v>136</v>
      </c>
      <c r="B4" s="1847" t="s">
        <v>386</v>
      </c>
      <c r="C4" s="88"/>
      <c r="D4" s="1849" t="s">
        <v>387</v>
      </c>
      <c r="E4" s="1628" t="s">
        <v>159</v>
      </c>
      <c r="F4" s="1628"/>
      <c r="G4" s="1628"/>
      <c r="H4" s="1628"/>
      <c r="I4" s="1628"/>
      <c r="J4" s="1628"/>
      <c r="K4" s="1628"/>
      <c r="L4" s="1628"/>
      <c r="M4" s="1628"/>
      <c r="N4" s="1628"/>
      <c r="O4" s="1628"/>
      <c r="P4" s="1628"/>
      <c r="Q4" s="1629"/>
      <c r="R4" s="1630" t="str">
        <f>+E4</f>
        <v>Proforma Mensual</v>
      </c>
      <c r="S4" s="1631"/>
      <c r="T4" s="1631"/>
      <c r="U4" s="1631"/>
      <c r="V4" s="1631"/>
      <c r="W4" s="1631"/>
      <c r="X4" s="1631"/>
      <c r="Y4" s="1631"/>
      <c r="Z4" s="1631"/>
      <c r="AA4" s="1631"/>
      <c r="AB4" s="1631"/>
      <c r="AC4" s="1631"/>
      <c r="AD4" s="1632"/>
      <c r="AE4" s="1627" t="str">
        <f>+R4</f>
        <v>Proforma Mensual</v>
      </c>
      <c r="AF4" s="1628"/>
      <c r="AG4" s="1628"/>
      <c r="AH4" s="1628"/>
      <c r="AI4" s="1628"/>
      <c r="AJ4" s="1628"/>
      <c r="AK4" s="1628"/>
      <c r="AL4" s="1628"/>
      <c r="AM4" s="1628"/>
      <c r="AN4" s="1629"/>
    </row>
    <row r="5" spans="1:40" ht="21.6" customHeight="1" x14ac:dyDescent="0.2">
      <c r="A5" s="1653"/>
      <c r="B5" s="1848"/>
      <c r="C5" s="147"/>
      <c r="D5" s="1850"/>
      <c r="E5" s="1611">
        <f>+'11 Gastos de Operación'!D5</f>
        <v>2017</v>
      </c>
      <c r="F5" s="1608"/>
      <c r="G5" s="1608"/>
      <c r="H5" s="1608"/>
      <c r="I5" s="1608"/>
      <c r="J5" s="1608"/>
      <c r="K5" s="1608"/>
      <c r="L5" s="1608"/>
      <c r="M5" s="1608"/>
      <c r="N5" s="1608"/>
      <c r="O5" s="1608"/>
      <c r="P5" s="1608"/>
      <c r="Q5" s="1609" t="s">
        <v>130</v>
      </c>
      <c r="R5" s="1823">
        <f>+E5+1</f>
        <v>2018</v>
      </c>
      <c r="S5" s="1824"/>
      <c r="T5" s="1824"/>
      <c r="U5" s="1824"/>
      <c r="V5" s="1824"/>
      <c r="W5" s="1824"/>
      <c r="X5" s="1824"/>
      <c r="Y5" s="1824"/>
      <c r="Z5" s="1824"/>
      <c r="AA5" s="1824"/>
      <c r="AB5" s="1824"/>
      <c r="AC5" s="1824"/>
      <c r="AD5" s="1825" t="s">
        <v>132</v>
      </c>
      <c r="AE5" s="344" t="s">
        <v>1</v>
      </c>
      <c r="AF5" s="345" t="s">
        <v>1</v>
      </c>
      <c r="AG5" s="345" t="s">
        <v>1</v>
      </c>
      <c r="AH5" s="345" t="s">
        <v>1</v>
      </c>
      <c r="AI5" s="345" t="s">
        <v>1</v>
      </c>
      <c r="AJ5" s="345" t="s">
        <v>1</v>
      </c>
      <c r="AK5" s="345" t="s">
        <v>1</v>
      </c>
      <c r="AL5" s="345" t="s">
        <v>1</v>
      </c>
      <c r="AM5" s="345" t="s">
        <v>1</v>
      </c>
      <c r="AN5" s="346" t="s">
        <v>1</v>
      </c>
    </row>
    <row r="6" spans="1:40" ht="21.6" customHeight="1" thickBot="1" x14ac:dyDescent="0.4">
      <c r="A6" s="1653"/>
      <c r="B6" s="1848"/>
      <c r="C6" s="147"/>
      <c r="D6" s="1850"/>
      <c r="E6" s="297" t="s">
        <v>60</v>
      </c>
      <c r="F6" s="208" t="s">
        <v>61</v>
      </c>
      <c r="G6" s="208" t="s">
        <v>62</v>
      </c>
      <c r="H6" s="208" t="s">
        <v>63</v>
      </c>
      <c r="I6" s="208" t="s">
        <v>64</v>
      </c>
      <c r="J6" s="208" t="s">
        <v>65</v>
      </c>
      <c r="K6" s="208" t="s">
        <v>66</v>
      </c>
      <c r="L6" s="208" t="s">
        <v>67</v>
      </c>
      <c r="M6" s="208" t="s">
        <v>68</v>
      </c>
      <c r="N6" s="208" t="s">
        <v>69</v>
      </c>
      <c r="O6" s="208" t="s">
        <v>70</v>
      </c>
      <c r="P6" s="208" t="s">
        <v>71</v>
      </c>
      <c r="Q6" s="1822"/>
      <c r="R6" s="1306" t="s">
        <v>60</v>
      </c>
      <c r="S6" s="1307" t="s">
        <v>61</v>
      </c>
      <c r="T6" s="1307" t="s">
        <v>62</v>
      </c>
      <c r="U6" s="1307" t="s">
        <v>63</v>
      </c>
      <c r="V6" s="1307" t="s">
        <v>64</v>
      </c>
      <c r="W6" s="1307" t="s">
        <v>65</v>
      </c>
      <c r="X6" s="1307" t="s">
        <v>66</v>
      </c>
      <c r="Y6" s="1307" t="s">
        <v>67</v>
      </c>
      <c r="Z6" s="1307" t="s">
        <v>68</v>
      </c>
      <c r="AA6" s="1307" t="s">
        <v>69</v>
      </c>
      <c r="AB6" s="1307" t="s">
        <v>70</v>
      </c>
      <c r="AC6" s="1307" t="s">
        <v>71</v>
      </c>
      <c r="AD6" s="1826"/>
      <c r="AE6" s="210">
        <f>+E5</f>
        <v>2017</v>
      </c>
      <c r="AF6" s="211">
        <f>+AE6+1</f>
        <v>2018</v>
      </c>
      <c r="AG6" s="211">
        <f t="shared" ref="AG6:AN6" si="2">+AF6+1</f>
        <v>2019</v>
      </c>
      <c r="AH6" s="211">
        <f t="shared" si="2"/>
        <v>2020</v>
      </c>
      <c r="AI6" s="211">
        <f t="shared" si="2"/>
        <v>2021</v>
      </c>
      <c r="AJ6" s="211">
        <f t="shared" si="2"/>
        <v>2022</v>
      </c>
      <c r="AK6" s="211">
        <f t="shared" si="2"/>
        <v>2023</v>
      </c>
      <c r="AL6" s="211">
        <f t="shared" si="2"/>
        <v>2024</v>
      </c>
      <c r="AM6" s="211">
        <f t="shared" si="2"/>
        <v>2025</v>
      </c>
      <c r="AN6" s="212">
        <f t="shared" si="2"/>
        <v>2026</v>
      </c>
    </row>
    <row r="7" spans="1:40" ht="15" customHeight="1" x14ac:dyDescent="0.2">
      <c r="A7" s="1298" t="s">
        <v>277</v>
      </c>
      <c r="B7" s="1299">
        <v>15000</v>
      </c>
      <c r="C7" s="1300"/>
      <c r="D7" s="1301">
        <f>+B7*'19 Resumen'!$L$9</f>
        <v>15000</v>
      </c>
      <c r="E7" s="1308">
        <f>IF(D$3&lt;'19 Resumen'!$M$4-3,0,'10 Gastos  Admon y Ventas'!$D7)</f>
        <v>0</v>
      </c>
      <c r="F7" s="1309">
        <f>IF(E$3&lt;'19 Resumen'!$M$4-3,0,'10 Gastos  Admon y Ventas'!$D7)</f>
        <v>0</v>
      </c>
      <c r="G7" s="1309">
        <f>IF(F$3&lt;'19 Resumen'!$M$4-3,0,'10 Gastos  Admon y Ventas'!$D7)</f>
        <v>0</v>
      </c>
      <c r="H7" s="1309">
        <f>IF(G$3&lt;'19 Resumen'!$M$4-3,0,'10 Gastos  Admon y Ventas'!$D7)</f>
        <v>15000</v>
      </c>
      <c r="I7" s="1309">
        <f>IF(H$3&lt;'19 Resumen'!$M$4-3,0,'10 Gastos  Admon y Ventas'!$D7)</f>
        <v>15000</v>
      </c>
      <c r="J7" s="1309">
        <f>IF(I$3&lt;'19 Resumen'!$M$4-3,0,'10 Gastos  Admon y Ventas'!$D7)</f>
        <v>15000</v>
      </c>
      <c r="K7" s="1309">
        <f>IF(J$3&lt;'19 Resumen'!$M$4-3,0,'10 Gastos  Admon y Ventas'!$D7)</f>
        <v>15000</v>
      </c>
      <c r="L7" s="1309">
        <f>IF(K$3&lt;'19 Resumen'!$M$4-3,0,'10 Gastos  Admon y Ventas'!$D7)</f>
        <v>15000</v>
      </c>
      <c r="M7" s="1309">
        <f>IF(L$3&lt;'19 Resumen'!$M$4-3,0,'10 Gastos  Admon y Ventas'!$D7)</f>
        <v>15000</v>
      </c>
      <c r="N7" s="1309">
        <f>IF(M$3&lt;'19 Resumen'!$M$4-3,0,'10 Gastos  Admon y Ventas'!$D7)</f>
        <v>15000</v>
      </c>
      <c r="O7" s="1309">
        <f>IF(N$3&lt;'19 Resumen'!$M$4-3,0,'10 Gastos  Admon y Ventas'!$D7)</f>
        <v>15000</v>
      </c>
      <c r="P7" s="1309">
        <f>IF(O$3&lt;'19 Resumen'!$M$4-3,0,'10 Gastos  Admon y Ventas'!$D7)</f>
        <v>15000</v>
      </c>
      <c r="Q7" s="1310">
        <f t="shared" ref="Q7:Q22" si="3">SUM(E7:P7)</f>
        <v>135000</v>
      </c>
      <c r="R7" s="1336">
        <f>P7*(1+'19 Resumen'!$E$33)</f>
        <v>15900</v>
      </c>
      <c r="S7" s="1337">
        <f>+R7</f>
        <v>15900</v>
      </c>
      <c r="T7" s="1337">
        <f t="shared" ref="T7:U11" si="4">+S7</f>
        <v>15900</v>
      </c>
      <c r="U7" s="1337">
        <f t="shared" si="4"/>
        <v>15900</v>
      </c>
      <c r="V7" s="1337">
        <f>I7*(1+'19 Resumen'!$E$33)</f>
        <v>15900</v>
      </c>
      <c r="W7" s="1337">
        <f>J7*(1+'19 Resumen'!$E$33)</f>
        <v>15900</v>
      </c>
      <c r="X7" s="1337">
        <f>K7*(1+'19 Resumen'!$E$33)</f>
        <v>15900</v>
      </c>
      <c r="Y7" s="1337">
        <f>L7*(1+'19 Resumen'!$E$33)</f>
        <v>15900</v>
      </c>
      <c r="Z7" s="1337">
        <f>M7*(1+'19 Resumen'!$E$33)</f>
        <v>15900</v>
      </c>
      <c r="AA7" s="1337">
        <f>N7*(1+'19 Resumen'!$E$33)</f>
        <v>15900</v>
      </c>
      <c r="AB7" s="1337">
        <f>O7*(1+'19 Resumen'!$E$33)</f>
        <v>15900</v>
      </c>
      <c r="AC7" s="1337">
        <f>P7*(1+'19 Resumen'!$E$33)</f>
        <v>15900</v>
      </c>
      <c r="AD7" s="1338">
        <f>SUM(R7:AC7)</f>
        <v>190800</v>
      </c>
      <c r="AE7" s="1339">
        <f>+Q7</f>
        <v>135000</v>
      </c>
      <c r="AF7" s="1340">
        <f>+AD7</f>
        <v>190800</v>
      </c>
      <c r="AG7" s="1340">
        <f>+AF7*(1+'19 Resumen'!$F$33)</f>
        <v>202248</v>
      </c>
      <c r="AH7" s="1340">
        <f>+AG7*(1+'19 Resumen'!$G$33)</f>
        <v>214382.88</v>
      </c>
      <c r="AI7" s="1340">
        <f>+AH7*(1+'19 Resumen'!$H$33)</f>
        <v>227245.85280000002</v>
      </c>
      <c r="AJ7" s="1340">
        <f>+AI7*(1+'19 Resumen'!$I$33)</f>
        <v>238153.65373440002</v>
      </c>
      <c r="AK7" s="1340">
        <f>+AJ7*(1+'19 Resumen'!$I$33)</f>
        <v>249585.02911365122</v>
      </c>
      <c r="AL7" s="1340">
        <f>+AK7*(1+'19 Resumen'!$I$33)</f>
        <v>261565.1105111065</v>
      </c>
      <c r="AM7" s="1340">
        <f>+AL7*(1+'19 Resumen'!$I$33)</f>
        <v>274120.23581563961</v>
      </c>
      <c r="AN7" s="1341">
        <f>+AM7*(1+'19 Resumen'!$I$33)</f>
        <v>287278.0071347903</v>
      </c>
    </row>
    <row r="8" spans="1:40" ht="15" customHeight="1" x14ac:dyDescent="0.2">
      <c r="A8" s="1302" t="s">
        <v>314</v>
      </c>
      <c r="B8" s="690">
        <v>4500</v>
      </c>
      <c r="C8" s="183"/>
      <c r="D8" s="540">
        <f>+B8*'19 Resumen'!$L$9</f>
        <v>4500</v>
      </c>
      <c r="E8" s="1311">
        <f>IF(E$3&lt;'19 Resumen'!$M$4-2,0,ROUND(+$D8*'17 Hoja de Trabajo'!B$9,0))</f>
        <v>0</v>
      </c>
      <c r="F8" s="1312">
        <f>IF(F$3&lt;'19 Resumen'!$M$4-2,0,ROUND(+$D8*'17 Hoja de Trabajo'!C$9,0))</f>
        <v>0</v>
      </c>
      <c r="G8" s="1312">
        <f>IF(G$3&lt;'19 Resumen'!$M$4-2,0,ROUND(+$D8*'17 Hoja de Trabajo'!D$9,0))</f>
        <v>0</v>
      </c>
      <c r="H8" s="1312">
        <f>IF(H$3&lt;'19 Resumen'!$M$4-2,0,ROUND(+$D8*'17 Hoja de Trabajo'!E$9,0))</f>
        <v>2835</v>
      </c>
      <c r="I8" s="1312">
        <f>IF(I$3&lt;'19 Resumen'!$M$4-2,0,ROUND(+$D8*'17 Hoja de Trabajo'!F$9,0))</f>
        <v>3060</v>
      </c>
      <c r="J8" s="1312">
        <f>IF(J$3&lt;'19 Resumen'!$M$4-2,0,ROUND(+$D8*'17 Hoja de Trabajo'!G$9,0))</f>
        <v>5670</v>
      </c>
      <c r="K8" s="1312">
        <f>IF(K$3&lt;'19 Resumen'!$M$4-2,0,ROUND(+$D8*'17 Hoja de Trabajo'!H$9,0))</f>
        <v>9495</v>
      </c>
      <c r="L8" s="1312">
        <f>IF(L$3&lt;'19 Resumen'!$M$4-2,0,ROUND(+$D8*'17 Hoja de Trabajo'!I$9,0))</f>
        <v>10215</v>
      </c>
      <c r="M8" s="1312">
        <f>IF(M$3&lt;'19 Resumen'!$M$4-2,0,ROUND(+$D8*'17 Hoja de Trabajo'!J$9,0))</f>
        <v>9090</v>
      </c>
      <c r="N8" s="1312">
        <f>IF(N$3&lt;'19 Resumen'!$M$4-2,0,ROUND(+$D8*'17 Hoja de Trabajo'!K$9,0))</f>
        <v>6660</v>
      </c>
      <c r="O8" s="1312">
        <f>IF(O$3&lt;'19 Resumen'!$M$4-2,0,ROUND(+$D8*'17 Hoja de Trabajo'!L$9,0))</f>
        <v>2385</v>
      </c>
      <c r="P8" s="1312">
        <f>IF(P$3&lt;'19 Resumen'!$M$4-2,0,ROUND(+$D8*'17 Hoja de Trabajo'!M$9,0))</f>
        <v>990</v>
      </c>
      <c r="Q8" s="1313">
        <f t="shared" si="3"/>
        <v>50400</v>
      </c>
      <c r="R8" s="1342">
        <f>$D8*'17 Hoja de Trabajo'!B$9*(1+'19 Resumen'!$E$33)</f>
        <v>1049.4000000000001</v>
      </c>
      <c r="S8" s="1343">
        <f>$D8*'17 Hoja de Trabajo'!C$9*(1+'19 Resumen'!$E$33)</f>
        <v>1097.1000000000001</v>
      </c>
      <c r="T8" s="1343">
        <f>$D8*'17 Hoja de Trabajo'!D$9*(1+'19 Resumen'!$E$33)</f>
        <v>1669.5</v>
      </c>
      <c r="U8" s="1343">
        <f>$D8*'17 Hoja de Trabajo'!E$9*(1+'19 Resumen'!$E$33)</f>
        <v>3005.1000000000004</v>
      </c>
      <c r="V8" s="1343">
        <f>$D8*'17 Hoja de Trabajo'!F$9*(1+'19 Resumen'!$E$33)</f>
        <v>3243.6000000000004</v>
      </c>
      <c r="W8" s="1343">
        <f>$D8*'17 Hoja de Trabajo'!G$9*(1+'19 Resumen'!$E$33)</f>
        <v>6010.2000000000007</v>
      </c>
      <c r="X8" s="1343">
        <f>$D8*'17 Hoja de Trabajo'!H$9*(1+'19 Resumen'!$E$33)</f>
        <v>10064.700000000001</v>
      </c>
      <c r="Y8" s="1343">
        <f>$D8*'17 Hoja de Trabajo'!I$9*(1+'19 Resumen'!$E$33)</f>
        <v>10827.9</v>
      </c>
      <c r="Z8" s="1343">
        <f>$D8*'17 Hoja de Trabajo'!J$9*(1+'19 Resumen'!$E$33)</f>
        <v>9635.4</v>
      </c>
      <c r="AA8" s="1343">
        <f>$D8*'17 Hoja de Trabajo'!K$9*(1+'19 Resumen'!$E$33)</f>
        <v>7059.6</v>
      </c>
      <c r="AB8" s="1343">
        <f>$D8*'17 Hoja de Trabajo'!L$9*(1+'19 Resumen'!$E$33)</f>
        <v>2528.1</v>
      </c>
      <c r="AC8" s="1343">
        <f>$D8*'17 Hoja de Trabajo'!M$9*(1+'19 Resumen'!$E$33)</f>
        <v>1049.4000000000001</v>
      </c>
      <c r="AD8" s="1344">
        <f>SUM(R8:AC8)</f>
        <v>57240</v>
      </c>
      <c r="AE8" s="1345">
        <f t="shared" ref="AE8:AE22" si="5">+Q8</f>
        <v>50400</v>
      </c>
      <c r="AF8" s="1305">
        <f t="shared" ref="AF8:AF22" si="6">+AD8</f>
        <v>57240</v>
      </c>
      <c r="AG8" s="1305">
        <f>+AF8*(1+'19 Resumen'!$F$33)</f>
        <v>60674.400000000001</v>
      </c>
      <c r="AH8" s="1305">
        <f>+AG8*(1+'19 Resumen'!$G$33)</f>
        <v>64314.864000000001</v>
      </c>
      <c r="AI8" s="1305">
        <f>+AH8*(1+'19 Resumen'!$H$33)</f>
        <v>68173.755839999998</v>
      </c>
      <c r="AJ8" s="1305">
        <f>+AI8*(1+'19 Resumen'!$I$33)</f>
        <v>71446.096120319999</v>
      </c>
      <c r="AK8" s="1305">
        <f>+AJ8*(1+'19 Resumen'!$I$33)</f>
        <v>74875.508734095361</v>
      </c>
      <c r="AL8" s="1305">
        <f>+AK8*(1+'19 Resumen'!$I$33)</f>
        <v>78469.53315333194</v>
      </c>
      <c r="AM8" s="1305">
        <f>+AL8*(1+'19 Resumen'!$I$33)</f>
        <v>82236.070744691882</v>
      </c>
      <c r="AN8" s="1346">
        <f>+AM8*(1+'19 Resumen'!$I$33)</f>
        <v>86183.402140437101</v>
      </c>
    </row>
    <row r="9" spans="1:40" ht="15" customHeight="1" x14ac:dyDescent="0.2">
      <c r="A9" s="1302" t="s">
        <v>197</v>
      </c>
      <c r="B9" s="11">
        <v>1500</v>
      </c>
      <c r="C9" s="183"/>
      <c r="D9" s="540">
        <f>+B9*'19 Resumen'!$L$9</f>
        <v>1500</v>
      </c>
      <c r="E9" s="1314">
        <f>IF(E$3&lt;'19 Resumen'!$M$4-3,0,+$D9)</f>
        <v>0</v>
      </c>
      <c r="F9" s="1315">
        <f>IF(F$3&lt;'19 Resumen'!$M$4-3,0,+$D9)</f>
        <v>0</v>
      </c>
      <c r="G9" s="1315">
        <f>IF(G$3&lt;'19 Resumen'!$M$4-3,0,+$D9)</f>
        <v>1500</v>
      </c>
      <c r="H9" s="1315">
        <f>IF(H$3&lt;'19 Resumen'!$M$4-3,0,+$D9)</f>
        <v>1500</v>
      </c>
      <c r="I9" s="1315">
        <f>IF(I$3&lt;'19 Resumen'!$M$4-3,0,+$D9)</f>
        <v>1500</v>
      </c>
      <c r="J9" s="1315">
        <f>IF(J$3&lt;'19 Resumen'!$M$4-3,0,+$D9)</f>
        <v>1500</v>
      </c>
      <c r="K9" s="1315">
        <f>IF(K$3&lt;'19 Resumen'!$M$4-3,0,+$D9)</f>
        <v>1500</v>
      </c>
      <c r="L9" s="1315">
        <f>IF(L$3&lt;'19 Resumen'!$M$4-3,0,+$D9)</f>
        <v>1500</v>
      </c>
      <c r="M9" s="1315">
        <f>IF(M$3&lt;'19 Resumen'!$M$4-3,0,+$D9)</f>
        <v>1500</v>
      </c>
      <c r="N9" s="1315">
        <f>IF(N$3&lt;'19 Resumen'!$M$4-3,0,+$D9)</f>
        <v>1500</v>
      </c>
      <c r="O9" s="1315">
        <f>IF(O$3&lt;'19 Resumen'!$M$4-3,0,+$D9)</f>
        <v>1500</v>
      </c>
      <c r="P9" s="1315">
        <f>IF(P$3&lt;'19 Resumen'!$M$4-3,0,+$D9)</f>
        <v>1500</v>
      </c>
      <c r="Q9" s="1313">
        <f t="shared" si="3"/>
        <v>15000</v>
      </c>
      <c r="R9" s="1347">
        <f>P9*(1+'19 Resumen'!$E$33)</f>
        <v>1590</v>
      </c>
      <c r="S9" s="1348">
        <f>+R9</f>
        <v>1590</v>
      </c>
      <c r="T9" s="1348">
        <f t="shared" si="4"/>
        <v>1590</v>
      </c>
      <c r="U9" s="1348">
        <f t="shared" si="4"/>
        <v>1590</v>
      </c>
      <c r="V9" s="1348">
        <f>I9*(1+'19 Resumen'!$E$33)</f>
        <v>1590</v>
      </c>
      <c r="W9" s="1348">
        <f>J9*(1+'19 Resumen'!$E$33)</f>
        <v>1590</v>
      </c>
      <c r="X9" s="1348">
        <f>K9*(1+'19 Resumen'!$E$33)</f>
        <v>1590</v>
      </c>
      <c r="Y9" s="1348">
        <f>L9*(1+'19 Resumen'!$E$33)</f>
        <v>1590</v>
      </c>
      <c r="Z9" s="1348">
        <f>M9*(1+'19 Resumen'!$E$33)</f>
        <v>1590</v>
      </c>
      <c r="AA9" s="1348">
        <f>N9*(1+'19 Resumen'!$E$33)</f>
        <v>1590</v>
      </c>
      <c r="AB9" s="1348">
        <f>O9*(1+'19 Resumen'!$E$33)</f>
        <v>1590</v>
      </c>
      <c r="AC9" s="1348">
        <f>P9*(1+'19 Resumen'!$E$33)</f>
        <v>1590</v>
      </c>
      <c r="AD9" s="1344">
        <f>SUM(R9:AC9)</f>
        <v>19080</v>
      </c>
      <c r="AE9" s="1345">
        <f t="shared" si="5"/>
        <v>15000</v>
      </c>
      <c r="AF9" s="1305">
        <f t="shared" si="6"/>
        <v>19080</v>
      </c>
      <c r="AG9" s="1305">
        <f>+AF9*(1+'19 Resumen'!$F$33)</f>
        <v>20224.8</v>
      </c>
      <c r="AH9" s="1305">
        <f>+AG9*(1+'19 Resumen'!$G$33)</f>
        <v>21438.288</v>
      </c>
      <c r="AI9" s="1305">
        <f>+AH9*(1+'19 Resumen'!$H$33)</f>
        <v>22724.585280000003</v>
      </c>
      <c r="AJ9" s="1305">
        <f>+AI9*(1+'19 Resumen'!$I$33)</f>
        <v>23815.365373440003</v>
      </c>
      <c r="AK9" s="1305">
        <f>+AJ9*(1+'19 Resumen'!$I$33)</f>
        <v>24958.502911365125</v>
      </c>
      <c r="AL9" s="1305">
        <f>+AK9*(1+'19 Resumen'!$I$33)</f>
        <v>26156.511051110654</v>
      </c>
      <c r="AM9" s="1305">
        <f>+AL9*(1+'19 Resumen'!$I$33)</f>
        <v>27412.023581563968</v>
      </c>
      <c r="AN9" s="1346">
        <f>+AM9*(1+'19 Resumen'!$I$33)</f>
        <v>28727.800713479039</v>
      </c>
    </row>
    <row r="10" spans="1:40" ht="15" customHeight="1" x14ac:dyDescent="0.2">
      <c r="A10" s="1302" t="s">
        <v>278</v>
      </c>
      <c r="B10" s="11">
        <v>1500</v>
      </c>
      <c r="C10" s="183"/>
      <c r="D10" s="540">
        <f>+B10*'19 Resumen'!$L$9</f>
        <v>1500</v>
      </c>
      <c r="E10" s="1314">
        <f>IF(E$3&lt;'19 Resumen'!$M$4-3,0,+$D10)</f>
        <v>0</v>
      </c>
      <c r="F10" s="1315">
        <f>IF(F$3&lt;'19 Resumen'!$M$4-3,0,+$D10)</f>
        <v>0</v>
      </c>
      <c r="G10" s="1315">
        <f>IF(G$3&lt;'19 Resumen'!$M$4-3,0,+$D10)</f>
        <v>1500</v>
      </c>
      <c r="H10" s="1315">
        <f>IF(H$3&lt;'19 Resumen'!$M$4-3,0,+$D10)</f>
        <v>1500</v>
      </c>
      <c r="I10" s="1315">
        <f>IF(I$3&lt;'19 Resumen'!$M$4-3,0,+$D10)</f>
        <v>1500</v>
      </c>
      <c r="J10" s="1315">
        <f>IF(J$3&lt;'19 Resumen'!$M$4-3,0,+$D10)</f>
        <v>1500</v>
      </c>
      <c r="K10" s="1315">
        <f>IF(K$3&lt;'19 Resumen'!$M$4-3,0,+$D10)</f>
        <v>1500</v>
      </c>
      <c r="L10" s="1315">
        <f>IF(L$3&lt;'19 Resumen'!$M$4-3,0,+$D10)</f>
        <v>1500</v>
      </c>
      <c r="M10" s="1315">
        <f>IF(M$3&lt;'19 Resumen'!$M$4-3,0,+$D10)</f>
        <v>1500</v>
      </c>
      <c r="N10" s="1315">
        <f>IF(N$3&lt;'19 Resumen'!$M$4-3,0,+$D10)</f>
        <v>1500</v>
      </c>
      <c r="O10" s="1315">
        <f>IF(O$3&lt;'19 Resumen'!$M$4-3,0,+$D10)</f>
        <v>1500</v>
      </c>
      <c r="P10" s="1315">
        <f>IF(P$3&lt;'19 Resumen'!$M$4-3,0,+$D10)</f>
        <v>1500</v>
      </c>
      <c r="Q10" s="1313">
        <f t="shared" si="3"/>
        <v>15000</v>
      </c>
      <c r="R10" s="1347">
        <f>P10*(1+'19 Resumen'!$E$33)</f>
        <v>1590</v>
      </c>
      <c r="S10" s="1348">
        <f>+R10</f>
        <v>1590</v>
      </c>
      <c r="T10" s="1348">
        <f t="shared" si="4"/>
        <v>1590</v>
      </c>
      <c r="U10" s="1348">
        <f t="shared" si="4"/>
        <v>1590</v>
      </c>
      <c r="V10" s="1348">
        <f>I10*(1+'19 Resumen'!$E$33)</f>
        <v>1590</v>
      </c>
      <c r="W10" s="1348">
        <f>J10*(1+'19 Resumen'!$E$33)</f>
        <v>1590</v>
      </c>
      <c r="X10" s="1348">
        <f>K10*(1+'19 Resumen'!$E$33)</f>
        <v>1590</v>
      </c>
      <c r="Y10" s="1348">
        <f>L10*(1+'19 Resumen'!$E$33)</f>
        <v>1590</v>
      </c>
      <c r="Z10" s="1348">
        <f>M10*(1+'19 Resumen'!$E$33)</f>
        <v>1590</v>
      </c>
      <c r="AA10" s="1348">
        <f>N10*(1+'19 Resumen'!$E$33)</f>
        <v>1590</v>
      </c>
      <c r="AB10" s="1348">
        <f>O10*(1+'19 Resumen'!$E$33)</f>
        <v>1590</v>
      </c>
      <c r="AC10" s="1348">
        <f>P10*(1+'19 Resumen'!$E$33)</f>
        <v>1590</v>
      </c>
      <c r="AD10" s="1344">
        <f t="shared" ref="AD10:AD22" si="7">SUM(R10:AC10)</f>
        <v>19080</v>
      </c>
      <c r="AE10" s="1345">
        <f t="shared" si="5"/>
        <v>15000</v>
      </c>
      <c r="AF10" s="1305">
        <f t="shared" si="6"/>
        <v>19080</v>
      </c>
      <c r="AG10" s="1305">
        <f>+AF10*(1+'19 Resumen'!$F$33)</f>
        <v>20224.8</v>
      </c>
      <c r="AH10" s="1305">
        <f>+AG10*(1+'19 Resumen'!$G$33)</f>
        <v>21438.288</v>
      </c>
      <c r="AI10" s="1305">
        <f>+AH10*(1+'19 Resumen'!$H$33)</f>
        <v>22724.585280000003</v>
      </c>
      <c r="AJ10" s="1305">
        <f>+AI10*(1+'19 Resumen'!$I$33)</f>
        <v>23815.365373440003</v>
      </c>
      <c r="AK10" s="1305">
        <f>+AJ10*(1+'19 Resumen'!$I$33)</f>
        <v>24958.502911365125</v>
      </c>
      <c r="AL10" s="1305">
        <f>+AK10*(1+'19 Resumen'!$I$33)</f>
        <v>26156.511051110654</v>
      </c>
      <c r="AM10" s="1305">
        <f>+AL10*(1+'19 Resumen'!$I$33)</f>
        <v>27412.023581563968</v>
      </c>
      <c r="AN10" s="1346">
        <f>+AM10*(1+'19 Resumen'!$I$33)</f>
        <v>28727.800713479039</v>
      </c>
    </row>
    <row r="11" spans="1:40" ht="15" customHeight="1" x14ac:dyDescent="0.2">
      <c r="A11" s="1302" t="s">
        <v>271</v>
      </c>
      <c r="B11" s="11">
        <v>3200</v>
      </c>
      <c r="C11" s="183"/>
      <c r="D11" s="540">
        <f>+B11*'19 Resumen'!$L$9</f>
        <v>3200</v>
      </c>
      <c r="E11" s="1314">
        <f>IF(E$3&lt;'19 Resumen'!$M$4-3,0,+$D11)</f>
        <v>0</v>
      </c>
      <c r="F11" s="1315">
        <f>IF(F$3&lt;'19 Resumen'!$M$4-3,0,+$D11)</f>
        <v>0</v>
      </c>
      <c r="G11" s="1315">
        <f>IF(G$3&lt;'19 Resumen'!$M$4-3,0,+$D11)</f>
        <v>3200</v>
      </c>
      <c r="H11" s="1315">
        <f>IF(H$3&lt;'19 Resumen'!$M$4-3,0,+$D11)</f>
        <v>3200</v>
      </c>
      <c r="I11" s="1315">
        <f>IF(I$3&lt;'19 Resumen'!$M$4-3,0,+$D11)</f>
        <v>3200</v>
      </c>
      <c r="J11" s="1315">
        <f>IF(J$3&lt;'19 Resumen'!$M$4-3,0,+$D11)</f>
        <v>3200</v>
      </c>
      <c r="K11" s="1315">
        <f>IF(K$3&lt;'19 Resumen'!$M$4-3,0,+$D11)</f>
        <v>3200</v>
      </c>
      <c r="L11" s="1315">
        <f>IF(L$3&lt;'19 Resumen'!$M$4-3,0,+$D11)</f>
        <v>3200</v>
      </c>
      <c r="M11" s="1315">
        <f>IF(M$3&lt;'19 Resumen'!$M$4-3,0,+$D11)</f>
        <v>3200</v>
      </c>
      <c r="N11" s="1315">
        <f>IF(N$3&lt;'19 Resumen'!$M$4-3,0,+$D11)</f>
        <v>3200</v>
      </c>
      <c r="O11" s="1315">
        <f>IF(O$3&lt;'19 Resumen'!$M$4-3,0,+$D11)</f>
        <v>3200</v>
      </c>
      <c r="P11" s="1315">
        <f>IF(P$3&lt;'19 Resumen'!$M$4-3,0,+$D11)</f>
        <v>3200</v>
      </c>
      <c r="Q11" s="1316">
        <f t="shared" si="3"/>
        <v>32000</v>
      </c>
      <c r="R11" s="1347">
        <f>P11*(1+'19 Resumen'!$E$33)</f>
        <v>3392</v>
      </c>
      <c r="S11" s="1348">
        <f>+R11</f>
        <v>3392</v>
      </c>
      <c r="T11" s="1348">
        <f t="shared" si="4"/>
        <v>3392</v>
      </c>
      <c r="U11" s="1348">
        <f t="shared" si="4"/>
        <v>3392</v>
      </c>
      <c r="V11" s="1348">
        <f>I11*(1+'19 Resumen'!$E$33)</f>
        <v>3392</v>
      </c>
      <c r="W11" s="1348">
        <f>J11*(1+'19 Resumen'!$E$33)</f>
        <v>3392</v>
      </c>
      <c r="X11" s="1348">
        <f>K11*(1+'19 Resumen'!$E$33)</f>
        <v>3392</v>
      </c>
      <c r="Y11" s="1348">
        <f>L11*(1+'19 Resumen'!$E$33)</f>
        <v>3392</v>
      </c>
      <c r="Z11" s="1348">
        <f>M11*(1+'19 Resumen'!$E$33)</f>
        <v>3392</v>
      </c>
      <c r="AA11" s="1348">
        <f>N11*(1+'19 Resumen'!$E$33)</f>
        <v>3392</v>
      </c>
      <c r="AB11" s="1348">
        <f>O11*(1+'19 Resumen'!$E$33)</f>
        <v>3392</v>
      </c>
      <c r="AC11" s="1348">
        <f>P11*(1+'19 Resumen'!$E$33)</f>
        <v>3392</v>
      </c>
      <c r="AD11" s="1344">
        <f t="shared" si="7"/>
        <v>40704</v>
      </c>
      <c r="AE11" s="1345">
        <f t="shared" si="5"/>
        <v>32000</v>
      </c>
      <c r="AF11" s="1305">
        <f t="shared" si="6"/>
        <v>40704</v>
      </c>
      <c r="AG11" s="1305">
        <f>+AF11*(1+'19 Resumen'!$F$33)</f>
        <v>43146.240000000005</v>
      </c>
      <c r="AH11" s="1305">
        <f>+AG11*(1+'19 Resumen'!$G$33)</f>
        <v>45735.014400000007</v>
      </c>
      <c r="AI11" s="1305">
        <f>+AH11*(1+'19 Resumen'!$H$33)</f>
        <v>48479.115264000007</v>
      </c>
      <c r="AJ11" s="1305">
        <f>+AI11*(1+'19 Resumen'!$I$33)</f>
        <v>50806.112796672009</v>
      </c>
      <c r="AK11" s="1305">
        <f>+AJ11*(1+'19 Resumen'!$I$33)</f>
        <v>53244.806210912269</v>
      </c>
      <c r="AL11" s="1305">
        <f>+AK11*(1+'19 Resumen'!$I$33)</f>
        <v>55800.556909036059</v>
      </c>
      <c r="AM11" s="1305">
        <f>+AL11*(1+'19 Resumen'!$I$33)</f>
        <v>58478.983640669794</v>
      </c>
      <c r="AN11" s="1346">
        <f>+AM11*(1+'19 Resumen'!$I$33)</f>
        <v>61285.974855421948</v>
      </c>
    </row>
    <row r="12" spans="1:40" ht="15" customHeight="1" x14ac:dyDescent="0.2">
      <c r="A12" s="1302" t="s">
        <v>279</v>
      </c>
      <c r="B12" s="11">
        <v>25000</v>
      </c>
      <c r="C12" s="183"/>
      <c r="D12" s="540">
        <f>+B12*'19 Resumen'!$L$9</f>
        <v>25000</v>
      </c>
      <c r="E12" s="1314"/>
      <c r="F12" s="1315"/>
      <c r="G12" s="1315">
        <f>+D12</f>
        <v>25000</v>
      </c>
      <c r="H12" s="1315"/>
      <c r="I12" s="1315">
        <f>+$D$12</f>
        <v>25000</v>
      </c>
      <c r="J12" s="1315">
        <f>+D12</f>
        <v>25000</v>
      </c>
      <c r="K12" s="1315"/>
      <c r="L12" s="1315"/>
      <c r="M12" s="1315"/>
      <c r="N12" s="1315">
        <f>+$D$12</f>
        <v>25000</v>
      </c>
      <c r="O12" s="1315"/>
      <c r="P12" s="1315">
        <f>+$D$12</f>
        <v>25000</v>
      </c>
      <c r="Q12" s="1313">
        <f t="shared" si="3"/>
        <v>125000</v>
      </c>
      <c r="R12" s="1347">
        <f>E12*(1+'19 Resumen'!$E$33)</f>
        <v>0</v>
      </c>
      <c r="S12" s="1348">
        <f>F12*(1+'19 Resumen'!$E$33)</f>
        <v>0</v>
      </c>
      <c r="T12" s="1348">
        <f>G12*(1+'19 Resumen'!$E$33)</f>
        <v>26500</v>
      </c>
      <c r="U12" s="1348">
        <f>H12*(1+'19 Resumen'!$E$33)</f>
        <v>0</v>
      </c>
      <c r="V12" s="1348">
        <f>I12*(1+'19 Resumen'!$E$33)</f>
        <v>26500</v>
      </c>
      <c r="W12" s="1348"/>
      <c r="X12" s="1348">
        <f>K12*(1+'19 Resumen'!$E$33)</f>
        <v>0</v>
      </c>
      <c r="Y12" s="1348">
        <f>L12*(1+'19 Resumen'!$E$33)</f>
        <v>0</v>
      </c>
      <c r="Z12" s="1348">
        <f>M12*(1+'19 Resumen'!$E$33)</f>
        <v>0</v>
      </c>
      <c r="AA12" s="1348">
        <f>N12*(1+'19 Resumen'!$E$33)</f>
        <v>26500</v>
      </c>
      <c r="AB12" s="1348">
        <f>O12*(1+'19 Resumen'!$E$33)</f>
        <v>0</v>
      </c>
      <c r="AC12" s="1348">
        <f>P12*(1+'19 Resumen'!$E$33)</f>
        <v>26500</v>
      </c>
      <c r="AD12" s="1344">
        <f t="shared" si="7"/>
        <v>106000</v>
      </c>
      <c r="AE12" s="1345">
        <f t="shared" si="5"/>
        <v>125000</v>
      </c>
      <c r="AF12" s="1305">
        <f t="shared" si="6"/>
        <v>106000</v>
      </c>
      <c r="AG12" s="1305">
        <f>+AF12*(1+'19 Resumen'!$F$33)</f>
        <v>112360</v>
      </c>
      <c r="AH12" s="1305">
        <f>+AG12*(1+'19 Resumen'!$G$33)</f>
        <v>119101.6</v>
      </c>
      <c r="AI12" s="1305">
        <f>+AH12*(1+'19 Resumen'!$H$33)</f>
        <v>126247.69600000001</v>
      </c>
      <c r="AJ12" s="1305">
        <f>+AI12*(1+'19 Resumen'!$I$33)</f>
        <v>132307.58540800001</v>
      </c>
      <c r="AK12" s="1305">
        <f>+AJ12*(1+'19 Resumen'!$I$33)</f>
        <v>138658.34950758403</v>
      </c>
      <c r="AL12" s="1305">
        <f>+AK12*(1+'19 Resumen'!$I$33)</f>
        <v>145313.95028394807</v>
      </c>
      <c r="AM12" s="1305">
        <f>+AL12*(1+'19 Resumen'!$I$33)</f>
        <v>152289.01989757759</v>
      </c>
      <c r="AN12" s="1346">
        <f>+AM12*(1+'19 Resumen'!$I$33)</f>
        <v>159598.89285266132</v>
      </c>
    </row>
    <row r="13" spans="1:40" ht="15" customHeight="1" x14ac:dyDescent="0.2">
      <c r="A13" s="1302" t="s">
        <v>280</v>
      </c>
      <c r="B13" s="11">
        <v>15000</v>
      </c>
      <c r="C13" s="183"/>
      <c r="D13" s="540">
        <f>+B13*'19 Resumen'!$L$9</f>
        <v>15000</v>
      </c>
      <c r="E13" s="1314"/>
      <c r="F13" s="1315"/>
      <c r="G13" s="1315">
        <f>+$D$13</f>
        <v>15000</v>
      </c>
      <c r="H13" s="1315"/>
      <c r="I13" s="1315"/>
      <c r="J13" s="1315"/>
      <c r="K13" s="1315">
        <f>+$D$13</f>
        <v>15000</v>
      </c>
      <c r="L13" s="1315"/>
      <c r="M13" s="1315">
        <f>+$D$13</f>
        <v>15000</v>
      </c>
      <c r="N13" s="1315"/>
      <c r="O13" s="1315"/>
      <c r="P13" s="1315"/>
      <c r="Q13" s="1313">
        <f t="shared" si="3"/>
        <v>45000</v>
      </c>
      <c r="R13" s="1347">
        <f>E13*(1+'19 Resumen'!$E$33)</f>
        <v>0</v>
      </c>
      <c r="S13" s="1348">
        <f>F13*(1+'19 Resumen'!$E$33)</f>
        <v>0</v>
      </c>
      <c r="T13" s="1348">
        <f>G13*(1+'19 Resumen'!$E$33)</f>
        <v>15900</v>
      </c>
      <c r="U13" s="1348">
        <f>H13*(1+'19 Resumen'!$E$33)</f>
        <v>0</v>
      </c>
      <c r="V13" s="1348">
        <f>I13*(1+'19 Resumen'!$E$33)</f>
        <v>0</v>
      </c>
      <c r="W13" s="1348">
        <f>J13*(1+'19 Resumen'!$E$33)</f>
        <v>0</v>
      </c>
      <c r="X13" s="1348"/>
      <c r="Y13" s="1348">
        <f>L13*(1+'19 Resumen'!$E$33)</f>
        <v>0</v>
      </c>
      <c r="Z13" s="1348">
        <f>M13*(1+'19 Resumen'!$E$33)</f>
        <v>15900</v>
      </c>
      <c r="AA13" s="1348">
        <f>N13*(1+'19 Resumen'!$E$33)</f>
        <v>0</v>
      </c>
      <c r="AB13" s="1348">
        <f>O13*(1+'19 Resumen'!$E$33)</f>
        <v>0</v>
      </c>
      <c r="AC13" s="1348">
        <f>P13*(1+'19 Resumen'!$E$33)</f>
        <v>0</v>
      </c>
      <c r="AD13" s="1344">
        <f t="shared" si="7"/>
        <v>31800</v>
      </c>
      <c r="AE13" s="1345">
        <f t="shared" si="5"/>
        <v>45000</v>
      </c>
      <c r="AF13" s="1305">
        <f t="shared" si="6"/>
        <v>31800</v>
      </c>
      <c r="AG13" s="1305">
        <f>+AF13*(1+'19 Resumen'!$F$33)</f>
        <v>33708</v>
      </c>
      <c r="AH13" s="1305">
        <f>+AG13*(1+'19 Resumen'!$G$33)</f>
        <v>35730.480000000003</v>
      </c>
      <c r="AI13" s="1305">
        <f>+AH13*(1+'19 Resumen'!$H$33)</f>
        <v>37874.308800000006</v>
      </c>
      <c r="AJ13" s="1305">
        <f>+AI13*(1+'19 Resumen'!$I$33)</f>
        <v>39692.275622400011</v>
      </c>
      <c r="AK13" s="1305">
        <f>+AJ13*(1+'19 Resumen'!$I$33)</f>
        <v>41597.504852275211</v>
      </c>
      <c r="AL13" s="1305">
        <f>+AK13*(1+'19 Resumen'!$I$33)</f>
        <v>43594.185085184421</v>
      </c>
      <c r="AM13" s="1305">
        <f>+AL13*(1+'19 Resumen'!$I$33)</f>
        <v>45686.705969273273</v>
      </c>
      <c r="AN13" s="1346">
        <f>+AM13*(1+'19 Resumen'!$I$33)</f>
        <v>47879.667855798391</v>
      </c>
    </row>
    <row r="14" spans="1:40" ht="15" customHeight="1" x14ac:dyDescent="0.2">
      <c r="A14" s="1302" t="s">
        <v>311</v>
      </c>
      <c r="B14" s="1293">
        <v>0.05</v>
      </c>
      <c r="C14" s="96">
        <v>0.1</v>
      </c>
      <c r="D14" s="1294">
        <f>+B14*'19 Resumen'!$L$9</f>
        <v>0.05</v>
      </c>
      <c r="E14" s="1314">
        <f>'9 Ingresos'!D22*$C14*$D14</f>
        <v>0</v>
      </c>
      <c r="F14" s="1315">
        <f>'9 Ingresos'!E22*$C14*$D14</f>
        <v>0</v>
      </c>
      <c r="G14" s="1315">
        <f>'9 Ingresos'!F22*$C14*$D14</f>
        <v>0</v>
      </c>
      <c r="H14" s="1315">
        <f>'9 Ingresos'!G22*$C14*$D14</f>
        <v>0</v>
      </c>
      <c r="I14" s="1315">
        <f>'9 Ingresos'!H22*$C14*$D14</f>
        <v>0</v>
      </c>
      <c r="J14" s="1315">
        <f>'9 Ingresos'!I22*$C14*$D14</f>
        <v>6372</v>
      </c>
      <c r="K14" s="1315">
        <f>'9 Ingresos'!J22*$C14*$D14</f>
        <v>5761.35</v>
      </c>
      <c r="L14" s="1315">
        <f>'9 Ingresos'!K22*$C14*$D14</f>
        <v>4938.3</v>
      </c>
      <c r="M14" s="1315">
        <f>'9 Ingresos'!L22*$C14*$D14</f>
        <v>5575.5</v>
      </c>
      <c r="N14" s="1315">
        <f>'9 Ingresos'!M22*$C14*$D14</f>
        <v>9876.6</v>
      </c>
      <c r="O14" s="1315">
        <f>'9 Ingresos'!N22*$C14*$D14</f>
        <v>11947.5</v>
      </c>
      <c r="P14" s="1315">
        <f>'9 Ingresos'!O22*$C14*$D14</f>
        <v>14814.900000000001</v>
      </c>
      <c r="Q14" s="1316">
        <f t="shared" si="3"/>
        <v>59286.15</v>
      </c>
      <c r="R14" s="1347">
        <f>'9 Ingresos'!Q22*$C14*$D14</f>
        <v>5432.130000000001</v>
      </c>
      <c r="S14" s="1348">
        <f>'9 Ingresos'!R22*$C14*$D14</f>
        <v>8177.4000000000005</v>
      </c>
      <c r="T14" s="1348">
        <f>'9 Ingresos'!S22*$C14*$D14</f>
        <v>8600.8725000000013</v>
      </c>
      <c r="U14" s="1348">
        <f>'9 Ingresos'!T22*$C14*$D14</f>
        <v>8323.4250000000011</v>
      </c>
      <c r="V14" s="1348">
        <f>'9 Ingresos'!U22*$C14*$D14</f>
        <v>10864.260000000002</v>
      </c>
      <c r="W14" s="1348">
        <f>'9 Ingresos'!V22*$C14*$D14</f>
        <v>7009.2000000000007</v>
      </c>
      <c r="X14" s="1348">
        <f>'9 Ingresos'!W22*$C14*$D14</f>
        <v>6337.4850000000006</v>
      </c>
      <c r="Y14" s="1348">
        <f>'9 Ingresos'!X22*$C14*$D14</f>
        <v>5432.130000000001</v>
      </c>
      <c r="Z14" s="1348">
        <f>'9 Ingresos'!Y22*$C14*$D14</f>
        <v>6133.05</v>
      </c>
      <c r="AA14" s="1348">
        <f>'9 Ingresos'!Z22*$C14*$D14</f>
        <v>10864.260000000002</v>
      </c>
      <c r="AB14" s="1348">
        <f>'9 Ingresos'!AA22*$C14*$D14</f>
        <v>13142.25</v>
      </c>
      <c r="AC14" s="1348">
        <f>'9 Ingresos'!AB22*$C14*$D14</f>
        <v>16296.390000000003</v>
      </c>
      <c r="AD14" s="1344">
        <f t="shared" si="7"/>
        <v>106612.85250000002</v>
      </c>
      <c r="AE14" s="1345">
        <f t="shared" si="5"/>
        <v>59286.15</v>
      </c>
      <c r="AF14" s="1305">
        <f t="shared" si="6"/>
        <v>106612.85250000002</v>
      </c>
      <c r="AG14" s="1305">
        <f>+AF14*(1+'19 Resumen'!$F$33)</f>
        <v>113009.62365000002</v>
      </c>
      <c r="AH14" s="1305">
        <f>+AG14*(1+'19 Resumen'!$G$33)</f>
        <v>119790.20106900003</v>
      </c>
      <c r="AI14" s="1305">
        <f>+AH14*(1+'19 Resumen'!$H$33)</f>
        <v>126977.61313314004</v>
      </c>
      <c r="AJ14" s="1305">
        <f>+AI14*(1+'19 Resumen'!$I$33)</f>
        <v>133072.53856353078</v>
      </c>
      <c r="AK14" s="1305">
        <f>+AJ14*(1+'19 Resumen'!$I$33)</f>
        <v>139460.02041458027</v>
      </c>
      <c r="AL14" s="1305">
        <f>+AK14*(1+'19 Resumen'!$I$33)</f>
        <v>146154.10139448012</v>
      </c>
      <c r="AM14" s="1305">
        <f>+AL14*(1+'19 Resumen'!$I$33)</f>
        <v>153169.49826141517</v>
      </c>
      <c r="AN14" s="1346">
        <f>+AM14*(1+'19 Resumen'!$I$33)</f>
        <v>160521.6341779631</v>
      </c>
    </row>
    <row r="15" spans="1:40" ht="15" customHeight="1" x14ac:dyDescent="0.2">
      <c r="A15" s="1302" t="s">
        <v>198</v>
      </c>
      <c r="B15" s="11">
        <v>2500</v>
      </c>
      <c r="C15" s="183"/>
      <c r="D15" s="540">
        <f>+B15*'19 Resumen'!$L$9</f>
        <v>2500</v>
      </c>
      <c r="E15" s="1296">
        <f>IF(E$3&lt;'19 Resumen'!$M$4,0,ROUND('17 Hoja de Trabajo'!B$10*$D15,0))</f>
        <v>0</v>
      </c>
      <c r="F15" s="1297">
        <f>IF(F$3&lt;'19 Resumen'!$M$4,0,ROUND('17 Hoja de Trabajo'!C$10*$D15,0))</f>
        <v>0</v>
      </c>
      <c r="G15" s="1297">
        <f>IF(G$3&lt;'19 Resumen'!$M$4,0,ROUND('17 Hoja de Trabajo'!D$10*$D15,0))</f>
        <v>0</v>
      </c>
      <c r="H15" s="1297">
        <f>IF(H$3&lt;'19 Resumen'!$M$4,0,ROUND('17 Hoja de Trabajo'!E$10*$D15,0))</f>
        <v>0</v>
      </c>
      <c r="I15" s="1297">
        <f>IF(I$3&lt;'19 Resumen'!$M$4,0,ROUND('17 Hoja de Trabajo'!F$10*$D15,0))</f>
        <v>0</v>
      </c>
      <c r="J15" s="1297">
        <f>IF(J$3&lt;'19 Resumen'!$M$4,0,ROUND('17 Hoja de Trabajo'!G$10*$D15,0))</f>
        <v>2000</v>
      </c>
      <c r="K15" s="1297">
        <f>IF(K$3&lt;'19 Resumen'!$M$4,0,ROUND('17 Hoja de Trabajo'!H$10*$D15,0))</f>
        <v>1750</v>
      </c>
      <c r="L15" s="1297">
        <f>IF(L$3&lt;'19 Resumen'!$M$4,0,ROUND('17 Hoja de Trabajo'!I$10*$D15,0))</f>
        <v>1500</v>
      </c>
      <c r="M15" s="1297">
        <f>IF(M$3&lt;'19 Resumen'!$M$4,0,ROUND('17 Hoja de Trabajo'!J$10*$D15,0))</f>
        <v>1750</v>
      </c>
      <c r="N15" s="1297">
        <f>IF(N$3&lt;'19 Resumen'!$M$4,0,ROUND('17 Hoja de Trabajo'!K$10*$D15,0))</f>
        <v>3000</v>
      </c>
      <c r="O15" s="1297">
        <f>IF(O$3&lt;'19 Resumen'!$M$4,0,ROUND('17 Hoja de Trabajo'!L$10*$D15,0))</f>
        <v>3750</v>
      </c>
      <c r="P15" s="1297">
        <f>IF(P$3&lt;'19 Resumen'!$M$4,0,ROUND('17 Hoja de Trabajo'!M$10*$D15,0))</f>
        <v>4500</v>
      </c>
      <c r="Q15" s="1313">
        <f t="shared" si="3"/>
        <v>18250</v>
      </c>
      <c r="R15" s="1349">
        <f>ROUND('17 Hoja de Trabajo'!B$10*$D15,0)*(1+'19 Resumen'!$E$33)</f>
        <v>1590</v>
      </c>
      <c r="S15" s="743">
        <f>ROUND('17 Hoja de Trabajo'!C$10*$D15,0)*(1+'19 Resumen'!$E$33)</f>
        <v>2650</v>
      </c>
      <c r="T15" s="743">
        <f>ROUND('17 Hoja de Trabajo'!D$10*$D15,0)*(1+'19 Resumen'!$E$33)</f>
        <v>2517.5</v>
      </c>
      <c r="U15" s="743">
        <f>ROUND('17 Hoja de Trabajo'!E$10*$D15,0)*(1+'19 Resumen'!$E$33)</f>
        <v>2517.5</v>
      </c>
      <c r="V15" s="743">
        <f>ROUND('17 Hoja de Trabajo'!F$10*$D15,0)*(1+'19 Resumen'!$E$33)</f>
        <v>3180</v>
      </c>
      <c r="W15" s="743">
        <f>ROUND('17 Hoja de Trabajo'!G$10*$D15,0)*(1+'19 Resumen'!$E$33)</f>
        <v>2120</v>
      </c>
      <c r="X15" s="743">
        <f>ROUND('17 Hoja de Trabajo'!H$10*$D15,0)*(1+'19 Resumen'!$E$33)</f>
        <v>1855</v>
      </c>
      <c r="Y15" s="743">
        <f>ROUND('17 Hoja de Trabajo'!I$10*$D15,0)*(1+'19 Resumen'!$E$33)</f>
        <v>1590</v>
      </c>
      <c r="Z15" s="743">
        <f>ROUND('17 Hoja de Trabajo'!J$10*$D15,0)*(1+'19 Resumen'!$E$33)</f>
        <v>1855</v>
      </c>
      <c r="AA15" s="743">
        <f>ROUND('17 Hoja de Trabajo'!K$10*$D15,0)*(1+'19 Resumen'!$E$33)</f>
        <v>3180</v>
      </c>
      <c r="AB15" s="743">
        <f>ROUND('17 Hoja de Trabajo'!L$10*$D15,0)*(1+'19 Resumen'!$E$33)</f>
        <v>3975</v>
      </c>
      <c r="AC15" s="743">
        <f>ROUND('17 Hoja de Trabajo'!M$10*$D15,0)*(1+'19 Resumen'!$E$33)</f>
        <v>4770</v>
      </c>
      <c r="AD15" s="1344">
        <f t="shared" si="7"/>
        <v>31800</v>
      </c>
      <c r="AE15" s="1345">
        <f t="shared" si="5"/>
        <v>18250</v>
      </c>
      <c r="AF15" s="1305">
        <f t="shared" si="6"/>
        <v>31800</v>
      </c>
      <c r="AG15" s="1305">
        <f>+AF15*(1+'19 Resumen'!$F$33)</f>
        <v>33708</v>
      </c>
      <c r="AH15" s="1305">
        <f>+AG15*(1+'19 Resumen'!$G$33)</f>
        <v>35730.480000000003</v>
      </c>
      <c r="AI15" s="1305">
        <f>+AH15*(1+'19 Resumen'!$H$33)</f>
        <v>37874.308800000006</v>
      </c>
      <c r="AJ15" s="1305">
        <f>+AI15*(1+'19 Resumen'!$I$33)</f>
        <v>39692.275622400011</v>
      </c>
      <c r="AK15" s="1305">
        <f>+AJ15*(1+'19 Resumen'!$I$33)</f>
        <v>41597.504852275211</v>
      </c>
      <c r="AL15" s="1305">
        <f>+AK15*(1+'19 Resumen'!$I$33)</f>
        <v>43594.185085184421</v>
      </c>
      <c r="AM15" s="1305">
        <f>+AL15*(1+'19 Resumen'!$I$33)</f>
        <v>45686.705969273273</v>
      </c>
      <c r="AN15" s="1346">
        <f>+AM15*(1+'19 Resumen'!$I$33)</f>
        <v>47879.667855798391</v>
      </c>
    </row>
    <row r="16" spans="1:40" ht="15" customHeight="1" x14ac:dyDescent="0.2">
      <c r="A16" s="1302" t="s">
        <v>312</v>
      </c>
      <c r="B16" s="11">
        <v>3500</v>
      </c>
      <c r="C16" s="183"/>
      <c r="D16" s="540">
        <f>+B16*'19 Resumen'!$L$9</f>
        <v>3500</v>
      </c>
      <c r="E16" s="1314">
        <f>IF(E$3&lt;'19 Resumen'!$M$4-3,0,+$D16)</f>
        <v>0</v>
      </c>
      <c r="F16" s="1315">
        <f>IF(F$3&lt;'19 Resumen'!$M$4-3,0,+$D16)</f>
        <v>0</v>
      </c>
      <c r="G16" s="1315">
        <f>IF(G$3&lt;'19 Resumen'!$M$4-3,0,+$D16)</f>
        <v>3500</v>
      </c>
      <c r="H16" s="1315">
        <f>IF(H$3&lt;'19 Resumen'!$M$4-3,0,+$D16)</f>
        <v>3500</v>
      </c>
      <c r="I16" s="1315">
        <f>IF(I$3&lt;'19 Resumen'!$M$4-3,0,+$D16)</f>
        <v>3500</v>
      </c>
      <c r="J16" s="1315">
        <f>IF(J$3&lt;'19 Resumen'!$M$4-3,0,+$D16)</f>
        <v>3500</v>
      </c>
      <c r="K16" s="1315">
        <f>IF(K$3&lt;'19 Resumen'!$M$4-3,0,+$D16)</f>
        <v>3500</v>
      </c>
      <c r="L16" s="1315">
        <f>IF(L$3&lt;'19 Resumen'!$M$4-3,0,+$D16)</f>
        <v>3500</v>
      </c>
      <c r="M16" s="1315">
        <f>IF(M$3&lt;'19 Resumen'!$M$4-3,0,+$D16)</f>
        <v>3500</v>
      </c>
      <c r="N16" s="1315">
        <f>IF(N$3&lt;'19 Resumen'!$M$4-3,0,+$D16)</f>
        <v>3500</v>
      </c>
      <c r="O16" s="1315">
        <f>IF(O$3&lt;'19 Resumen'!$M$4-3,0,+$D16)</f>
        <v>3500</v>
      </c>
      <c r="P16" s="1315">
        <f>IF(P$3&lt;'19 Resumen'!$M$4-3,0,+$D16)</f>
        <v>3500</v>
      </c>
      <c r="Q16" s="1316">
        <f t="shared" si="3"/>
        <v>35000</v>
      </c>
      <c r="R16" s="1347">
        <f>E16*(1+'19 Resumen'!$E$33)</f>
        <v>0</v>
      </c>
      <c r="S16" s="1348">
        <f>F16*(1+'19 Resumen'!$E$33)</f>
        <v>0</v>
      </c>
      <c r="T16" s="1348">
        <f>G16*(1+'19 Resumen'!$E$33)</f>
        <v>3710</v>
      </c>
      <c r="U16" s="1348">
        <f>H16*(1+'19 Resumen'!$E$33)</f>
        <v>3710</v>
      </c>
      <c r="V16" s="1348">
        <f>I16*(1+'19 Resumen'!$E$33)</f>
        <v>3710</v>
      </c>
      <c r="W16" s="1348">
        <f>J16*(1+'19 Resumen'!$E$33)</f>
        <v>3710</v>
      </c>
      <c r="X16" s="1348">
        <f>K16*(1+'19 Resumen'!$E$33)</f>
        <v>3710</v>
      </c>
      <c r="Y16" s="1348">
        <f>L16*(1+'19 Resumen'!$E$33)</f>
        <v>3710</v>
      </c>
      <c r="Z16" s="1348">
        <f>M16*(1+'19 Resumen'!$E$33)</f>
        <v>3710</v>
      </c>
      <c r="AA16" s="1348">
        <f>N16*(1+'19 Resumen'!$E$33)</f>
        <v>3710</v>
      </c>
      <c r="AB16" s="1348">
        <f>O16*(1+'19 Resumen'!$E$33)</f>
        <v>3710</v>
      </c>
      <c r="AC16" s="1348">
        <f>P16*(1+'19 Resumen'!$E$33)</f>
        <v>3710</v>
      </c>
      <c r="AD16" s="1344">
        <f t="shared" si="7"/>
        <v>37100</v>
      </c>
      <c r="AE16" s="1345">
        <f t="shared" si="5"/>
        <v>35000</v>
      </c>
      <c r="AF16" s="1305">
        <f t="shared" si="6"/>
        <v>37100</v>
      </c>
      <c r="AG16" s="1305">
        <f>+AF16*(1+'19 Resumen'!$F$33)</f>
        <v>39326</v>
      </c>
      <c r="AH16" s="1305">
        <f>+AG16*(1+'19 Resumen'!$G$33)</f>
        <v>41685.560000000005</v>
      </c>
      <c r="AI16" s="1305">
        <f>+AH16*(1+'19 Resumen'!$H$33)</f>
        <v>44186.693600000006</v>
      </c>
      <c r="AJ16" s="1305">
        <f>+AI16*(1+'19 Resumen'!$I$33)</f>
        <v>46307.654892800005</v>
      </c>
      <c r="AK16" s="1305">
        <f>+AJ16*(1+'19 Resumen'!$I$33)</f>
        <v>48530.422327654407</v>
      </c>
      <c r="AL16" s="1305">
        <f>+AK16*(1+'19 Resumen'!$I$33)</f>
        <v>50859.882599381817</v>
      </c>
      <c r="AM16" s="1305">
        <f>+AL16*(1+'19 Resumen'!$I$33)</f>
        <v>53301.156964152149</v>
      </c>
      <c r="AN16" s="1346">
        <f>+AM16*(1+'19 Resumen'!$I$33)</f>
        <v>55859.612498431452</v>
      </c>
    </row>
    <row r="17" spans="1:40" ht="15" customHeight="1" x14ac:dyDescent="0.2">
      <c r="A17" s="1302" t="s">
        <v>408</v>
      </c>
      <c r="B17" s="11">
        <v>9000</v>
      </c>
      <c r="C17" s="183"/>
      <c r="D17" s="540">
        <f>+B17*'19 Resumen'!$L$9</f>
        <v>9000</v>
      </c>
      <c r="E17" s="1314"/>
      <c r="F17" s="1315"/>
      <c r="G17" s="1315">
        <f>+D17</f>
        <v>9000</v>
      </c>
      <c r="H17" s="1315"/>
      <c r="I17" s="1315"/>
      <c r="J17" s="1315"/>
      <c r="K17" s="1315"/>
      <c r="L17" s="1315"/>
      <c r="M17" s="1315"/>
      <c r="N17" s="1315"/>
      <c r="O17" s="1315"/>
      <c r="P17" s="1315"/>
      <c r="Q17" s="1313">
        <f t="shared" si="3"/>
        <v>9000</v>
      </c>
      <c r="R17" s="1347">
        <f>E17*(1+'19 Resumen'!$E$33)</f>
        <v>0</v>
      </c>
      <c r="S17" s="1348">
        <f>F17*(1+'19 Resumen'!$E$33)</f>
        <v>0</v>
      </c>
      <c r="T17" s="1348">
        <f>G17*(1+'19 Resumen'!$E$33)</f>
        <v>9540</v>
      </c>
      <c r="U17" s="1348">
        <f>H17*(1+'19 Resumen'!$E$33)</f>
        <v>0</v>
      </c>
      <c r="V17" s="1348">
        <f>I17*(1+'19 Resumen'!$E$33)</f>
        <v>0</v>
      </c>
      <c r="W17" s="1348">
        <f>J17*(1+'19 Resumen'!$E$33)</f>
        <v>0</v>
      </c>
      <c r="X17" s="1348">
        <f>K17*(1+'19 Resumen'!$E$33)</f>
        <v>0</v>
      </c>
      <c r="Y17" s="1348">
        <f>L17*(1+'19 Resumen'!$E$33)</f>
        <v>0</v>
      </c>
      <c r="Z17" s="1348">
        <f>M17*(1+'19 Resumen'!$E$33)</f>
        <v>0</v>
      </c>
      <c r="AA17" s="1350">
        <f>N17*(1+'19 Resumen'!$E$33)</f>
        <v>0</v>
      </c>
      <c r="AB17" s="1350">
        <f>O17*(1+'19 Resumen'!$E$33)</f>
        <v>0</v>
      </c>
      <c r="AC17" s="1350">
        <f>P17*(1+'19 Resumen'!$E$33)</f>
        <v>0</v>
      </c>
      <c r="AD17" s="1344">
        <f t="shared" si="7"/>
        <v>9540</v>
      </c>
      <c r="AE17" s="1345">
        <f t="shared" si="5"/>
        <v>9000</v>
      </c>
      <c r="AF17" s="1305">
        <f t="shared" si="6"/>
        <v>9540</v>
      </c>
      <c r="AG17" s="1305">
        <f>+AF17*(1+'19 Resumen'!$F$33)</f>
        <v>10112.4</v>
      </c>
      <c r="AH17" s="1305">
        <f>+AG17*(1+'19 Resumen'!$G$33)</f>
        <v>10719.144</v>
      </c>
      <c r="AI17" s="1305">
        <f>+AH17*(1+'19 Resumen'!$H$33)</f>
        <v>11362.292640000001</v>
      </c>
      <c r="AJ17" s="1305">
        <f>+AI17*(1+'19 Resumen'!$I$33)</f>
        <v>11907.682686720002</v>
      </c>
      <c r="AK17" s="1305">
        <f>+AJ17*(1+'19 Resumen'!$I$33)</f>
        <v>12479.251455682563</v>
      </c>
      <c r="AL17" s="1305">
        <f>+AK17*(1+'19 Resumen'!$I$33)</f>
        <v>13078.255525555327</v>
      </c>
      <c r="AM17" s="1305">
        <f>+AL17*(1+'19 Resumen'!$I$33)</f>
        <v>13706.011790781984</v>
      </c>
      <c r="AN17" s="1346">
        <f>+AM17*(1+'19 Resumen'!$I$33)</f>
        <v>14363.900356739519</v>
      </c>
    </row>
    <row r="18" spans="1:40" ht="15" customHeight="1" x14ac:dyDescent="0.2">
      <c r="A18" s="1302" t="s">
        <v>275</v>
      </c>
      <c r="B18" s="11">
        <v>8000</v>
      </c>
      <c r="C18" s="183"/>
      <c r="D18" s="540">
        <f>+B18*'19 Resumen'!$L$9</f>
        <v>8000</v>
      </c>
      <c r="E18" s="1314"/>
      <c r="F18" s="1315"/>
      <c r="G18" s="1315">
        <f>+D18</f>
        <v>8000</v>
      </c>
      <c r="H18" s="1315"/>
      <c r="I18" s="1315"/>
      <c r="J18" s="1315"/>
      <c r="K18" s="1315"/>
      <c r="L18" s="1315"/>
      <c r="M18" s="1315">
        <f>+I18</f>
        <v>0</v>
      </c>
      <c r="N18" s="1315"/>
      <c r="O18" s="1315"/>
      <c r="P18" s="1315"/>
      <c r="Q18" s="1313">
        <f t="shared" si="3"/>
        <v>8000</v>
      </c>
      <c r="R18" s="1347">
        <f>E18*(1+'19 Resumen'!$E$33)</f>
        <v>0</v>
      </c>
      <c r="S18" s="1348">
        <f>F18*(1+'19 Resumen'!$E$33)</f>
        <v>0</v>
      </c>
      <c r="T18" s="1348">
        <f>G18*(1+'19 Resumen'!$E$33)</f>
        <v>8480</v>
      </c>
      <c r="U18" s="1348">
        <f>H18*(1+'19 Resumen'!$E$33)</f>
        <v>0</v>
      </c>
      <c r="V18" s="1348">
        <f>I18*(1+'19 Resumen'!$E$33)</f>
        <v>0</v>
      </c>
      <c r="W18" s="1348">
        <f>J18*(1+'19 Resumen'!$E$33)</f>
        <v>0</v>
      </c>
      <c r="X18" s="1348">
        <f>K18*(1+'19 Resumen'!$E$33)</f>
        <v>0</v>
      </c>
      <c r="Y18" s="1348">
        <f>L18*(1+'19 Resumen'!$E$33)</f>
        <v>0</v>
      </c>
      <c r="Z18" s="1348">
        <f>M18*(1+'19 Resumen'!$E$33)</f>
        <v>0</v>
      </c>
      <c r="AA18" s="1348">
        <f>N18*(1+'19 Resumen'!$E$33)</f>
        <v>0</v>
      </c>
      <c r="AB18" s="1348">
        <f>O18*(1+'19 Resumen'!$E$33)</f>
        <v>0</v>
      </c>
      <c r="AC18" s="1348">
        <f>P18*(1+'19 Resumen'!$E$33)</f>
        <v>0</v>
      </c>
      <c r="AD18" s="1344">
        <f t="shared" si="7"/>
        <v>8480</v>
      </c>
      <c r="AE18" s="1345">
        <f t="shared" si="5"/>
        <v>8000</v>
      </c>
      <c r="AF18" s="1305">
        <f t="shared" si="6"/>
        <v>8480</v>
      </c>
      <c r="AG18" s="1305">
        <f>+AF18*(1+'19 Resumen'!$F$33)</f>
        <v>8988.8000000000011</v>
      </c>
      <c r="AH18" s="1305">
        <f>+AG18*(1+'19 Resumen'!$G$33)</f>
        <v>9528.1280000000024</v>
      </c>
      <c r="AI18" s="1305">
        <f>+AH18*(1+'19 Resumen'!$H$33)</f>
        <v>10099.815680000003</v>
      </c>
      <c r="AJ18" s="1305">
        <f>+AI18*(1+'19 Resumen'!$I$33)</f>
        <v>10584.606832640004</v>
      </c>
      <c r="AK18" s="1305">
        <f>+AJ18*(1+'19 Resumen'!$I$33)</f>
        <v>11092.667960606725</v>
      </c>
      <c r="AL18" s="1305">
        <f>+AK18*(1+'19 Resumen'!$I$33)</f>
        <v>11625.116022715847</v>
      </c>
      <c r="AM18" s="1305">
        <f>+AL18*(1+'19 Resumen'!$I$33)</f>
        <v>12183.121591806208</v>
      </c>
      <c r="AN18" s="1346">
        <f>+AM18*(1+'19 Resumen'!$I$33)</f>
        <v>12767.911428212907</v>
      </c>
    </row>
    <row r="19" spans="1:40" ht="15.6" customHeight="1" x14ac:dyDescent="0.2">
      <c r="A19" s="1302" t="s">
        <v>276</v>
      </c>
      <c r="B19" s="11">
        <f>+'11 Gastos de Operación'!B18</f>
        <v>2250</v>
      </c>
      <c r="C19" s="183"/>
      <c r="D19" s="540">
        <f>+B19*'19 Resumen'!$L$9</f>
        <v>2250</v>
      </c>
      <c r="E19" s="1314"/>
      <c r="F19" s="1315"/>
      <c r="G19" s="1315">
        <f>+D19</f>
        <v>2250</v>
      </c>
      <c r="H19" s="1315"/>
      <c r="I19" s="1315"/>
      <c r="J19" s="1315"/>
      <c r="K19" s="1315">
        <f>+D19</f>
        <v>2250</v>
      </c>
      <c r="L19" s="1315"/>
      <c r="M19" s="1315">
        <f>+I19</f>
        <v>0</v>
      </c>
      <c r="N19" s="1315">
        <f>+D19</f>
        <v>2250</v>
      </c>
      <c r="O19" s="1315"/>
      <c r="P19" s="1315"/>
      <c r="Q19" s="1313">
        <f t="shared" si="3"/>
        <v>6750</v>
      </c>
      <c r="R19" s="1347">
        <f>ROUND(E19*(1+'19 Resumen'!$E$33),0)</f>
        <v>0</v>
      </c>
      <c r="S19" s="1348">
        <f>ROUND(F19*(1+'19 Resumen'!$E$33),0)</f>
        <v>0</v>
      </c>
      <c r="T19" s="1348">
        <f>ROUND(G19*(1+'19 Resumen'!$E$33),0)</f>
        <v>2385</v>
      </c>
      <c r="U19" s="1348">
        <f>ROUND(H19*(1+'19 Resumen'!$E$33),0)</f>
        <v>0</v>
      </c>
      <c r="V19" s="1348">
        <f>ROUND(I19*(1+'19 Resumen'!$E$33),0)</f>
        <v>0</v>
      </c>
      <c r="W19" s="1348">
        <f>ROUND(J19*(1+'19 Resumen'!$E$33),0)</f>
        <v>0</v>
      </c>
      <c r="X19" s="1348">
        <f>ROUND(K19*(1+'19 Resumen'!$E$33),0)</f>
        <v>2385</v>
      </c>
      <c r="Y19" s="1348">
        <f>ROUND(L19*(1+'19 Resumen'!$E$33),0)</f>
        <v>0</v>
      </c>
      <c r="Z19" s="1348">
        <f>ROUND(M19*(1+'19 Resumen'!$E$33),0)</f>
        <v>0</v>
      </c>
      <c r="AA19" s="1348">
        <f>ROUND(N19*(1+'19 Resumen'!$E$33),0)</f>
        <v>2385</v>
      </c>
      <c r="AB19" s="1348">
        <f>ROUND(O19*(1+'19 Resumen'!$E$33),0)</f>
        <v>0</v>
      </c>
      <c r="AC19" s="1348">
        <f>ROUND(P19*(1+'19 Resumen'!$E$33),0)</f>
        <v>0</v>
      </c>
      <c r="AD19" s="1344">
        <f t="shared" si="7"/>
        <v>7155</v>
      </c>
      <c r="AE19" s="1345">
        <f t="shared" si="5"/>
        <v>6750</v>
      </c>
      <c r="AF19" s="1305">
        <f t="shared" si="6"/>
        <v>7155</v>
      </c>
      <c r="AG19" s="1305">
        <f>+AF19*(1+'19 Resumen'!$F$33)</f>
        <v>7584.3</v>
      </c>
      <c r="AH19" s="1305">
        <f>+AG19*(1+'19 Resumen'!$G$33)</f>
        <v>8039.3580000000002</v>
      </c>
      <c r="AI19" s="1305">
        <f>+AH19*(1+'19 Resumen'!$H$33)</f>
        <v>8521.7194799999997</v>
      </c>
      <c r="AJ19" s="1305">
        <f>+AI19*(1+'19 Resumen'!$I$33)</f>
        <v>8930.7620150399998</v>
      </c>
      <c r="AK19" s="1305">
        <f>+AJ19*(1+'19 Resumen'!$I$33)</f>
        <v>9359.4385917619202</v>
      </c>
      <c r="AL19" s="1305">
        <f>+AK19*(1+'19 Resumen'!$I$33)</f>
        <v>9808.6916441664926</v>
      </c>
      <c r="AM19" s="1305">
        <f>+AL19*(1+'19 Resumen'!$I$33)</f>
        <v>10279.508843086485</v>
      </c>
      <c r="AN19" s="1346">
        <f>+AM19*(1+'19 Resumen'!$I$33)</f>
        <v>10772.925267554638</v>
      </c>
    </row>
    <row r="20" spans="1:40" ht="15" customHeight="1" x14ac:dyDescent="0.2">
      <c r="A20" s="1302" t="s">
        <v>371</v>
      </c>
      <c r="B20" s="11">
        <v>1750</v>
      </c>
      <c r="C20" s="183"/>
      <c r="D20" s="540">
        <f>+B20*'19 Resumen'!$L$9</f>
        <v>1750</v>
      </c>
      <c r="E20" s="1284">
        <f>IF(E$3&lt;'19 Resumen'!$M$4-3,0,ROUND('17 Hoja de Trabajo'!B$10*$D20/2+$D20/2,0))</f>
        <v>0</v>
      </c>
      <c r="F20" s="1281">
        <f>IF(F$3&lt;'19 Resumen'!$M$4-3,0,ROUND('17 Hoja de Trabajo'!C$10*$D20/2+$D20/2,0))</f>
        <v>0</v>
      </c>
      <c r="G20" s="1281">
        <f>IF(G$3&lt;'19 Resumen'!$M$4-3,0,ROUND('17 Hoja de Trabajo'!D$10*$D20/2+$D20/2,0))</f>
        <v>1706</v>
      </c>
      <c r="H20" s="1281">
        <f>IF(H$3&lt;'19 Resumen'!$M$4-3,0,ROUND('17 Hoja de Trabajo'!E$10*$D20/2+$D20/2,0))</f>
        <v>1706</v>
      </c>
      <c r="I20" s="1281">
        <f>IF(I$3&lt;'19 Resumen'!$M$4-3,0,ROUND('17 Hoja de Trabajo'!F$10*$D20/2+$D20/2,0))</f>
        <v>1925</v>
      </c>
      <c r="J20" s="1281">
        <f>IF(J$3&lt;'19 Resumen'!$M$4-3,0,ROUND('17 Hoja de Trabajo'!G$10*$D20/2+$D20/2,0))</f>
        <v>1575</v>
      </c>
      <c r="K20" s="1281">
        <f>IF(K$3&lt;'19 Resumen'!$M$4-3,0,ROUND('17 Hoja de Trabajo'!H$10*$D20/2+$D20/2,0))</f>
        <v>1488</v>
      </c>
      <c r="L20" s="1281">
        <f>IF(L$3&lt;'19 Resumen'!$M$4-3,0,ROUND('17 Hoja de Trabajo'!I$10*$D20/2+$D20/2,0))</f>
        <v>1400</v>
      </c>
      <c r="M20" s="1281">
        <f>IF(M$3&lt;'19 Resumen'!$M$4-3,0,ROUND('17 Hoja de Trabajo'!J$10*$D20/2+$D20/2,0))</f>
        <v>1488</v>
      </c>
      <c r="N20" s="1281">
        <f>IF(N$3&lt;'19 Resumen'!$M$4-3,0,ROUND('17 Hoja de Trabajo'!K$10*$D20/2+$D20/2,0))</f>
        <v>1925</v>
      </c>
      <c r="O20" s="1281">
        <f>IF(O$3&lt;'19 Resumen'!$M$4-3,0,ROUND('17 Hoja de Trabajo'!L$10*$D20/2+$D20/2,0))</f>
        <v>2188</v>
      </c>
      <c r="P20" s="1281">
        <f>IF(P$3&lt;'19 Resumen'!$M$4-3,0,ROUND('17 Hoja de Trabajo'!M$10*$D20/2+$D20/2,0))</f>
        <v>2450</v>
      </c>
      <c r="Q20" s="1313">
        <f t="shared" si="3"/>
        <v>17851</v>
      </c>
      <c r="R20" s="1349">
        <f>ROUND('17 Hoja de Trabajo'!B$10*$D20/2+$D20/2,0)*(1+'19 Resumen'!$E$33)</f>
        <v>1484</v>
      </c>
      <c r="S20" s="743">
        <f>ROUND('17 Hoja de Trabajo'!C$10*$D20/2+$D20/2,0)*(1+'19 Resumen'!$E$33)</f>
        <v>1855</v>
      </c>
      <c r="T20" s="743">
        <f>ROUND('17 Hoja de Trabajo'!D$10*$D20/2+$D20/2,0)*(1+'19 Resumen'!$E$33)</f>
        <v>1808.3600000000001</v>
      </c>
      <c r="U20" s="743">
        <f>ROUND('17 Hoja de Trabajo'!E$10*$D20/2+$D20/2,0)*(1+'19 Resumen'!$E$33)</f>
        <v>1808.3600000000001</v>
      </c>
      <c r="V20" s="743">
        <f>ROUND('17 Hoja de Trabajo'!F$10*$D20/2+$D20/2,0)*(1+'19 Resumen'!$E$33)</f>
        <v>2040.5</v>
      </c>
      <c r="W20" s="743">
        <f>ROUND('17 Hoja de Trabajo'!G$10*$D20/2+$D20/2,0)*(1+'19 Resumen'!$E$33)</f>
        <v>1669.5</v>
      </c>
      <c r="X20" s="743">
        <f>ROUND('17 Hoja de Trabajo'!H$10*$D20/2+$D20/2,0)*(1+'19 Resumen'!$E$33)</f>
        <v>1577.28</v>
      </c>
      <c r="Y20" s="743">
        <f>ROUND('17 Hoja de Trabajo'!I$10*$D20/2+$D20/2,0)*(1+'19 Resumen'!$E$33)</f>
        <v>1484</v>
      </c>
      <c r="Z20" s="743">
        <f>ROUND('17 Hoja de Trabajo'!J$10*$D20/2+$D20/2,0)*(1+'19 Resumen'!$E$33)</f>
        <v>1577.28</v>
      </c>
      <c r="AA20" s="743">
        <f>ROUND('17 Hoja de Trabajo'!K$10*$D20/2+$D20/2,0)*(1+'19 Resumen'!$E$33)</f>
        <v>2040.5</v>
      </c>
      <c r="AB20" s="743">
        <f>ROUND('17 Hoja de Trabajo'!L$10*$D20/2+$D20/2,0)*(1+'19 Resumen'!$E$33)</f>
        <v>2319.2800000000002</v>
      </c>
      <c r="AC20" s="743">
        <f>ROUND('17 Hoja de Trabajo'!M$10*$D20/2+$D20/2,0)*(1+'19 Resumen'!$E$33)</f>
        <v>2597</v>
      </c>
      <c r="AD20" s="1344">
        <f t="shared" si="7"/>
        <v>22261.06</v>
      </c>
      <c r="AE20" s="1345">
        <f t="shared" si="5"/>
        <v>17851</v>
      </c>
      <c r="AF20" s="1305">
        <f t="shared" si="6"/>
        <v>22261.06</v>
      </c>
      <c r="AG20" s="1305">
        <f>+AF20*(1+'19 Resumen'!$F$33)</f>
        <v>23596.723600000001</v>
      </c>
      <c r="AH20" s="1305">
        <f>+AG20*(1+'19 Resumen'!$G$33)</f>
        <v>25012.527016000004</v>
      </c>
      <c r="AI20" s="1305">
        <f>+AH20*(1+'19 Resumen'!$H$33)</f>
        <v>26513.278636960003</v>
      </c>
      <c r="AJ20" s="1305">
        <f>+AI20*(1+'19 Resumen'!$I$33)</f>
        <v>27785.916011534086</v>
      </c>
      <c r="AK20" s="1305">
        <f>+AJ20*(1+'19 Resumen'!$I$33)</f>
        <v>29119.639980087723</v>
      </c>
      <c r="AL20" s="1305">
        <f>+AK20*(1+'19 Resumen'!$I$33)</f>
        <v>30517.382699131933</v>
      </c>
      <c r="AM20" s="1305">
        <f>+AL20*(1+'19 Resumen'!$I$33)</f>
        <v>31982.217068690268</v>
      </c>
      <c r="AN20" s="1346">
        <f>+AM20*(1+'19 Resumen'!$I$33)</f>
        <v>33517.363487987401</v>
      </c>
    </row>
    <row r="21" spans="1:40" ht="15" customHeight="1" x14ac:dyDescent="0.2">
      <c r="A21" s="1302" t="s">
        <v>313</v>
      </c>
      <c r="B21" s="11">
        <v>2500</v>
      </c>
      <c r="C21" s="183"/>
      <c r="D21" s="540">
        <f>+B21*'19 Resumen'!$L$9</f>
        <v>2500</v>
      </c>
      <c r="E21" s="1314">
        <f>IF(D$3&lt;'19 Resumen'!$M$4-3,0,'10 Gastos  Admon y Ventas'!$D21)</f>
        <v>0</v>
      </c>
      <c r="F21" s="1315">
        <f>IF(E$3&lt;'19 Resumen'!$M$4-3,0,'10 Gastos  Admon y Ventas'!$D21)</f>
        <v>0</v>
      </c>
      <c r="G21" s="1315">
        <f>IF(F$3&lt;'19 Resumen'!$M$4-3,0,'10 Gastos  Admon y Ventas'!$D21)</f>
        <v>0</v>
      </c>
      <c r="H21" s="1315">
        <f>IF(G$3&lt;'19 Resumen'!$M$4-3,0,'10 Gastos  Admon y Ventas'!$D21)</f>
        <v>2500</v>
      </c>
      <c r="I21" s="1315">
        <f>IF(H$3&lt;'19 Resumen'!$M$4-3,0,'10 Gastos  Admon y Ventas'!$D21)</f>
        <v>2500</v>
      </c>
      <c r="J21" s="1315">
        <f>IF(I$3&lt;'19 Resumen'!$M$4-3,0,'10 Gastos  Admon y Ventas'!$D21)</f>
        <v>2500</v>
      </c>
      <c r="K21" s="1315">
        <f>IF(J$3&lt;'19 Resumen'!$M$4-3,0,'10 Gastos  Admon y Ventas'!$D21)</f>
        <v>2500</v>
      </c>
      <c r="L21" s="1315">
        <f>IF(K$3&lt;'19 Resumen'!$M$4-3,0,'10 Gastos  Admon y Ventas'!$D21)</f>
        <v>2500</v>
      </c>
      <c r="M21" s="1315">
        <f>IF(L$3&lt;'19 Resumen'!$M$4-3,0,'10 Gastos  Admon y Ventas'!$D21)</f>
        <v>2500</v>
      </c>
      <c r="N21" s="1315">
        <f>IF(M$3&lt;'19 Resumen'!$M$4-3,0,'10 Gastos  Admon y Ventas'!$D21)</f>
        <v>2500</v>
      </c>
      <c r="O21" s="1315">
        <f>IF(N$3&lt;'19 Resumen'!$M$4-3,0,'10 Gastos  Admon y Ventas'!$D21)</f>
        <v>2500</v>
      </c>
      <c r="P21" s="1315">
        <f>IF(O$3&lt;'19 Resumen'!$M$4-3,0,'10 Gastos  Admon y Ventas'!$D21)</f>
        <v>2500</v>
      </c>
      <c r="Q21" s="1316">
        <f t="shared" si="3"/>
        <v>22500</v>
      </c>
      <c r="R21" s="1347">
        <f>P21*(1+'19 Resumen'!$E$33)</f>
        <v>2650</v>
      </c>
      <c r="S21" s="1348">
        <f>+R21</f>
        <v>2650</v>
      </c>
      <c r="T21" s="1348">
        <f>+S21</f>
        <v>2650</v>
      </c>
      <c r="U21" s="1348">
        <f t="shared" ref="U21:W21" si="8">+T21</f>
        <v>2650</v>
      </c>
      <c r="V21" s="1348">
        <f t="shared" si="8"/>
        <v>2650</v>
      </c>
      <c r="W21" s="1348">
        <f t="shared" si="8"/>
        <v>2650</v>
      </c>
      <c r="X21" s="1348">
        <f>K21*(1+'19 Resumen'!$E$33)</f>
        <v>2650</v>
      </c>
      <c r="Y21" s="1348">
        <f>L21*(1+'19 Resumen'!$E$33)</f>
        <v>2650</v>
      </c>
      <c r="Z21" s="1348">
        <f>M21*(1+'19 Resumen'!$E$33)</f>
        <v>2650</v>
      </c>
      <c r="AA21" s="1348">
        <f>N21*(1+'19 Resumen'!$E$33)</f>
        <v>2650</v>
      </c>
      <c r="AB21" s="1348">
        <f>O21*(1+'19 Resumen'!$E$33)</f>
        <v>2650</v>
      </c>
      <c r="AC21" s="1348">
        <f>P21*(1+'19 Resumen'!$E$33)</f>
        <v>2650</v>
      </c>
      <c r="AD21" s="1344">
        <f t="shared" si="7"/>
        <v>31800</v>
      </c>
      <c r="AE21" s="1345">
        <f t="shared" si="5"/>
        <v>22500</v>
      </c>
      <c r="AF21" s="1305">
        <f t="shared" si="6"/>
        <v>31800</v>
      </c>
      <c r="AG21" s="1305">
        <f>+AF21*(1+'19 Resumen'!$F$33)</f>
        <v>33708</v>
      </c>
      <c r="AH21" s="1305">
        <f>+AG21*(1+'19 Resumen'!$G$33)</f>
        <v>35730.480000000003</v>
      </c>
      <c r="AI21" s="1305">
        <f>+AH21*(1+'19 Resumen'!$H$33)</f>
        <v>37874.308800000006</v>
      </c>
      <c r="AJ21" s="1305">
        <f>+AI21*(1+'19 Resumen'!$I$33)</f>
        <v>39692.275622400011</v>
      </c>
      <c r="AK21" s="1305">
        <f>+AJ21*(1+'19 Resumen'!$I$33)</f>
        <v>41597.504852275211</v>
      </c>
      <c r="AL21" s="1305">
        <f>+AK21*(1+'19 Resumen'!$I$33)</f>
        <v>43594.185085184421</v>
      </c>
      <c r="AM21" s="1305">
        <f>+AL21*(1+'19 Resumen'!$I$33)</f>
        <v>45686.705969273273</v>
      </c>
      <c r="AN21" s="1346">
        <f>+AM21*(1+'19 Resumen'!$I$33)</f>
        <v>47879.667855798391</v>
      </c>
    </row>
    <row r="22" spans="1:40" ht="15" customHeight="1" thickBot="1" x14ac:dyDescent="0.25">
      <c r="A22" s="1303" t="s">
        <v>196</v>
      </c>
      <c r="B22" s="1290">
        <v>6200</v>
      </c>
      <c r="C22" s="1304"/>
      <c r="D22" s="1291">
        <f>+B22*'19 Resumen'!$L$9</f>
        <v>6200</v>
      </c>
      <c r="E22" s="1318">
        <f>IF(E$3&lt;'19 Resumen'!$M$4-3,0,+$D22)</f>
        <v>0</v>
      </c>
      <c r="F22" s="1318">
        <f>IF(F$3&lt;'19 Resumen'!$M$4-3,0,+$D22)</f>
        <v>0</v>
      </c>
      <c r="G22" s="1318">
        <f>IF(G$3&lt;'19 Resumen'!$M$4-3,0,+$D22)</f>
        <v>6200</v>
      </c>
      <c r="H22" s="1318">
        <f>IF(H$3&lt;'19 Resumen'!$M$4-3,0,+$D22)</f>
        <v>6200</v>
      </c>
      <c r="I22" s="1318">
        <f>IF(I$3&lt;'19 Resumen'!$M$4-3,0,+$D22)</f>
        <v>6200</v>
      </c>
      <c r="J22" s="1318">
        <f>IF(J$3&lt;'19 Resumen'!$M$4-3,0,+$D22)</f>
        <v>6200</v>
      </c>
      <c r="K22" s="1318">
        <f>IF(K$3&lt;'19 Resumen'!$M$4-3,0,+$D22)</f>
        <v>6200</v>
      </c>
      <c r="L22" s="1318">
        <f>IF(L$3&lt;'19 Resumen'!$M$4-3,0,+$D22)</f>
        <v>6200</v>
      </c>
      <c r="M22" s="1318">
        <f>IF(M$3&lt;'19 Resumen'!$M$4-3,0,+$D22)</f>
        <v>6200</v>
      </c>
      <c r="N22" s="1318">
        <f>IF(N$3&lt;'19 Resumen'!$M$4-3,0,+$D22)</f>
        <v>6200</v>
      </c>
      <c r="O22" s="1318">
        <f>IF(O$3&lt;'19 Resumen'!$M$4-3,0,+$D22)</f>
        <v>6200</v>
      </c>
      <c r="P22" s="1318">
        <f>IF(P$3&lt;'19 Resumen'!$M$4-3,0,+$D22)</f>
        <v>6200</v>
      </c>
      <c r="Q22" s="1319">
        <f t="shared" si="3"/>
        <v>62000</v>
      </c>
      <c r="R22" s="1351">
        <f>IF(R$3&lt;'19 Resumen'!$M$4-1,0,+$D22)*(1+'19 Resumen'!$E$33)</f>
        <v>6572</v>
      </c>
      <c r="S22" s="1352">
        <f>IF(S$3&lt;'19 Resumen'!$M$4-1,0,+$D22)*(1+'19 Resumen'!$E$33)</f>
        <v>6572</v>
      </c>
      <c r="T22" s="1352">
        <f>IF(T$3&lt;'19 Resumen'!$M$4-1,0,+$D22)*(1+'19 Resumen'!$E$33)</f>
        <v>6572</v>
      </c>
      <c r="U22" s="1352">
        <f>IF(U$3&lt;'19 Resumen'!$M$4-1,0,+$D22)*(1+'19 Resumen'!$E$33)</f>
        <v>6572</v>
      </c>
      <c r="V22" s="1352">
        <f>IF(V$3&lt;'19 Resumen'!$M$4-1,0,+$D22)*(1+'19 Resumen'!$E$33)</f>
        <v>6572</v>
      </c>
      <c r="W22" s="1352">
        <f>IF(W$3&lt;'19 Resumen'!$M$4-1,0,+$D22)*(1+'19 Resumen'!$E$33)</f>
        <v>6572</v>
      </c>
      <c r="X22" s="1352">
        <f>IF(X$3&lt;'19 Resumen'!$M$4-1,0,+$D22)*(1+'19 Resumen'!$E$33)</f>
        <v>6572</v>
      </c>
      <c r="Y22" s="1352">
        <f>IF(Y$3&lt;'19 Resumen'!$M$4-1,0,+$D22)*(1+'19 Resumen'!$E$33)</f>
        <v>6572</v>
      </c>
      <c r="Z22" s="1352">
        <f>IF(Z$3&lt;'19 Resumen'!$M$4-1,0,+$D22)*(1+'19 Resumen'!$E$33)</f>
        <v>6572</v>
      </c>
      <c r="AA22" s="1352">
        <f>IF(AA$3&lt;'19 Resumen'!$M$4-1,0,+$D22)*(1+'19 Resumen'!$E$33)</f>
        <v>6572</v>
      </c>
      <c r="AB22" s="1352">
        <f>IF(AB$3&lt;'19 Resumen'!$M$4-1,0,+$D22)*(1+'19 Resumen'!$E$33)</f>
        <v>6572</v>
      </c>
      <c r="AC22" s="1352">
        <f>IF(AC$3&lt;'19 Resumen'!$M$4-1,0,+$D22)*(1+'19 Resumen'!$E$33)</f>
        <v>6572</v>
      </c>
      <c r="AD22" s="1353">
        <f t="shared" si="7"/>
        <v>78864</v>
      </c>
      <c r="AE22" s="1345">
        <f t="shared" si="5"/>
        <v>62000</v>
      </c>
      <c r="AF22" s="1305">
        <f t="shared" si="6"/>
        <v>78864</v>
      </c>
      <c r="AG22" s="1305">
        <f>+AF22*(1+'19 Resumen'!$F$33)</f>
        <v>83595.840000000011</v>
      </c>
      <c r="AH22" s="1305">
        <f>+AG22*(1+'19 Resumen'!$G$33)</f>
        <v>88611.590400000016</v>
      </c>
      <c r="AI22" s="1305">
        <f>+AH22*(1+'19 Resumen'!$H$33)</f>
        <v>93928.285824000021</v>
      </c>
      <c r="AJ22" s="1305">
        <f>+AI22*(1+'19 Resumen'!$I$33)</f>
        <v>98436.843543552022</v>
      </c>
      <c r="AK22" s="1305">
        <f>+AJ22*(1+'19 Resumen'!$I$33)</f>
        <v>103161.81203364252</v>
      </c>
      <c r="AL22" s="1305">
        <f>+AK22*(1+'19 Resumen'!$I$33)</f>
        <v>108113.57901125736</v>
      </c>
      <c r="AM22" s="1305">
        <f>+AL22*(1+'19 Resumen'!$I$33)</f>
        <v>113303.03080379772</v>
      </c>
      <c r="AN22" s="1346">
        <f>+AM22*(1+'19 Resumen'!$I$33)</f>
        <v>118741.57628238002</v>
      </c>
    </row>
    <row r="23" spans="1:40" ht="15" customHeight="1" thickBot="1" x14ac:dyDescent="0.25">
      <c r="A23" s="687" t="s">
        <v>375</v>
      </c>
      <c r="B23" s="688"/>
      <c r="C23" s="689"/>
      <c r="D23" s="689"/>
      <c r="E23" s="999">
        <f>SUM(E7:E22)</f>
        <v>0</v>
      </c>
      <c r="F23" s="999">
        <f t="shared" ref="F23:P23" si="9">SUM(F7:F22)</f>
        <v>0</v>
      </c>
      <c r="G23" s="999">
        <f t="shared" si="9"/>
        <v>76856</v>
      </c>
      <c r="H23" s="999">
        <f t="shared" si="9"/>
        <v>37941</v>
      </c>
      <c r="I23" s="999">
        <f t="shared" si="9"/>
        <v>63385</v>
      </c>
      <c r="J23" s="999">
        <f t="shared" si="9"/>
        <v>74017</v>
      </c>
      <c r="K23" s="999">
        <f t="shared" si="9"/>
        <v>69144.350000000006</v>
      </c>
      <c r="L23" s="999">
        <f t="shared" si="9"/>
        <v>51453.3</v>
      </c>
      <c r="M23" s="999">
        <f t="shared" si="9"/>
        <v>66303.5</v>
      </c>
      <c r="N23" s="999">
        <f t="shared" si="9"/>
        <v>82111.600000000006</v>
      </c>
      <c r="O23" s="999">
        <f t="shared" si="9"/>
        <v>53670.5</v>
      </c>
      <c r="P23" s="999">
        <f t="shared" si="9"/>
        <v>81154.899999999994</v>
      </c>
      <c r="Q23" s="1292">
        <f>SUM(Q7:Q22)*'19 Resumen'!$L$9</f>
        <v>656037.15</v>
      </c>
      <c r="R23" s="1354">
        <f>SUM(R7:R22)</f>
        <v>41249.53</v>
      </c>
      <c r="S23" s="1354">
        <f t="shared" ref="S23:AC23" si="10">SUM(S7:S22)</f>
        <v>45473.5</v>
      </c>
      <c r="T23" s="1354">
        <f t="shared" si="10"/>
        <v>112805.2325</v>
      </c>
      <c r="U23" s="1354">
        <f t="shared" si="10"/>
        <v>51058.385000000002</v>
      </c>
      <c r="V23" s="1354">
        <f t="shared" si="10"/>
        <v>81232.36</v>
      </c>
      <c r="W23" s="1354">
        <f t="shared" si="10"/>
        <v>52212.9</v>
      </c>
      <c r="X23" s="1354">
        <f t="shared" si="10"/>
        <v>57623.464999999997</v>
      </c>
      <c r="Y23" s="1354">
        <f t="shared" si="10"/>
        <v>54738.03</v>
      </c>
      <c r="Z23" s="1354">
        <f t="shared" si="10"/>
        <v>70504.73000000001</v>
      </c>
      <c r="AA23" s="1354">
        <f t="shared" si="10"/>
        <v>87433.36</v>
      </c>
      <c r="AB23" s="1354">
        <f t="shared" si="10"/>
        <v>57368.63</v>
      </c>
      <c r="AC23" s="1354">
        <f t="shared" si="10"/>
        <v>86616.790000000008</v>
      </c>
      <c r="AD23" s="1355">
        <f>SUM(AD7:AD22)*'19 Resumen'!$L$9</f>
        <v>798316.91250000009</v>
      </c>
      <c r="AE23" s="1356">
        <f>SUM(AE7:AE22)</f>
        <v>656037.15</v>
      </c>
      <c r="AF23" s="1357">
        <f t="shared" ref="AF23:AN23" si="11">SUM(AF7:AF22)</f>
        <v>798316.91250000009</v>
      </c>
      <c r="AG23" s="1357">
        <f t="shared" si="11"/>
        <v>846215.92725000007</v>
      </c>
      <c r="AH23" s="1357">
        <f t="shared" si="11"/>
        <v>896988.88288500009</v>
      </c>
      <c r="AI23" s="1357">
        <f t="shared" si="11"/>
        <v>950808.21585809998</v>
      </c>
      <c r="AJ23" s="1357">
        <f t="shared" si="11"/>
        <v>996447.01021928899</v>
      </c>
      <c r="AK23" s="1357">
        <f t="shared" si="11"/>
        <v>1044276.466709815</v>
      </c>
      <c r="AL23" s="1357">
        <f t="shared" si="11"/>
        <v>1094401.737111886</v>
      </c>
      <c r="AM23" s="1357">
        <f t="shared" si="11"/>
        <v>1146933.0204932564</v>
      </c>
      <c r="AN23" s="1295">
        <f t="shared" si="11"/>
        <v>1201985.805476933</v>
      </c>
    </row>
    <row r="24" spans="1:40" ht="15" customHeight="1" x14ac:dyDescent="0.2">
      <c r="A24" s="351" t="s">
        <v>237</v>
      </c>
      <c r="B24" s="347"/>
      <c r="C24" s="352"/>
      <c r="D24" s="353"/>
      <c r="E24" s="301">
        <f t="shared" ref="E24:P25" si="12">IF($Q$49=0,0,IF(E$49=0,0,$Q24/$Q$49))</f>
        <v>0</v>
      </c>
      <c r="F24" s="112">
        <f t="shared" si="12"/>
        <v>0</v>
      </c>
      <c r="G24" s="112">
        <f t="shared" si="12"/>
        <v>8080</v>
      </c>
      <c r="H24" s="112">
        <f t="shared" si="12"/>
        <v>8080</v>
      </c>
      <c r="I24" s="112">
        <f t="shared" si="12"/>
        <v>8080</v>
      </c>
      <c r="J24" s="112">
        <f t="shared" si="12"/>
        <v>8080</v>
      </c>
      <c r="K24" s="112">
        <f t="shared" si="12"/>
        <v>8080</v>
      </c>
      <c r="L24" s="112">
        <f t="shared" si="12"/>
        <v>8080</v>
      </c>
      <c r="M24" s="112">
        <f t="shared" si="12"/>
        <v>8080</v>
      </c>
      <c r="N24" s="112">
        <f t="shared" si="12"/>
        <v>8080</v>
      </c>
      <c r="O24" s="112">
        <f t="shared" si="12"/>
        <v>8080</v>
      </c>
      <c r="P24" s="112">
        <f t="shared" si="12"/>
        <v>8080</v>
      </c>
      <c r="Q24" s="354">
        <f>+'14 Cedula de Depreciaciones'!E58</f>
        <v>80800</v>
      </c>
      <c r="R24" s="1358">
        <f t="shared" ref="R24:AC25" si="13">IF($AD$49=0,0,IF(R$49=0,0,$AD24/$AD$49))</f>
        <v>7233.333333333333</v>
      </c>
      <c r="S24" s="1340">
        <f t="shared" si="13"/>
        <v>7233.333333333333</v>
      </c>
      <c r="T24" s="1340">
        <f t="shared" si="13"/>
        <v>7233.333333333333</v>
      </c>
      <c r="U24" s="1340">
        <f t="shared" si="13"/>
        <v>7233.333333333333</v>
      </c>
      <c r="V24" s="1340">
        <f t="shared" si="13"/>
        <v>7233.333333333333</v>
      </c>
      <c r="W24" s="1340">
        <f t="shared" si="13"/>
        <v>7233.333333333333</v>
      </c>
      <c r="X24" s="1340">
        <f t="shared" si="13"/>
        <v>7233.333333333333</v>
      </c>
      <c r="Y24" s="1340">
        <f t="shared" si="13"/>
        <v>7233.333333333333</v>
      </c>
      <c r="Z24" s="1340">
        <f t="shared" si="13"/>
        <v>7233.333333333333</v>
      </c>
      <c r="AA24" s="1340">
        <f t="shared" si="13"/>
        <v>7233.333333333333</v>
      </c>
      <c r="AB24" s="1340">
        <f t="shared" si="13"/>
        <v>7233.333333333333</v>
      </c>
      <c r="AC24" s="1340">
        <f t="shared" si="13"/>
        <v>7233.333333333333</v>
      </c>
      <c r="AD24" s="1341">
        <f>+'14 Cedula de Depreciaciones'!F58</f>
        <v>86800</v>
      </c>
      <c r="AE24" s="1359">
        <f>+Q24</f>
        <v>80800</v>
      </c>
      <c r="AF24" s="1360">
        <f>+AD24</f>
        <v>86800</v>
      </c>
      <c r="AG24" s="1360">
        <f>+'14 Cedula de Depreciaciones'!G58</f>
        <v>89600</v>
      </c>
      <c r="AH24" s="1360">
        <f>+'14 Cedula de Depreciaciones'!H58</f>
        <v>163600</v>
      </c>
      <c r="AI24" s="1360">
        <f>+'14 Cedula de Depreciaciones'!I58</f>
        <v>202600</v>
      </c>
      <c r="AJ24" s="1360">
        <f>+'14 Cedula de Depreciaciones'!J58</f>
        <v>130600</v>
      </c>
      <c r="AK24" s="1360">
        <f>+'14 Cedula de Depreciaciones'!K58</f>
        <v>192600</v>
      </c>
      <c r="AL24" s="1360">
        <f>+'14 Cedula de Depreciaciones'!L58</f>
        <v>195800</v>
      </c>
      <c r="AM24" s="1360">
        <f>+'14 Cedula de Depreciaciones'!M58</f>
        <v>124600</v>
      </c>
      <c r="AN24" s="1361">
        <f>+'14 Cedula de Depreciaciones'!N58</f>
        <v>192600</v>
      </c>
    </row>
    <row r="25" spans="1:40" ht="15" customHeight="1" x14ac:dyDescent="0.2">
      <c r="A25" s="355" t="s">
        <v>44</v>
      </c>
      <c r="B25" s="348"/>
      <c r="C25" s="349"/>
      <c r="D25" s="350"/>
      <c r="E25" s="149">
        <f t="shared" si="12"/>
        <v>0</v>
      </c>
      <c r="F25" s="97">
        <f t="shared" si="12"/>
        <v>0</v>
      </c>
      <c r="G25" s="97">
        <f t="shared" si="12"/>
        <v>250</v>
      </c>
      <c r="H25" s="97">
        <f t="shared" si="12"/>
        <v>250</v>
      </c>
      <c r="I25" s="97">
        <f t="shared" si="12"/>
        <v>250</v>
      </c>
      <c r="J25" s="97">
        <f t="shared" si="12"/>
        <v>250</v>
      </c>
      <c r="K25" s="97">
        <f t="shared" si="12"/>
        <v>250</v>
      </c>
      <c r="L25" s="97">
        <f t="shared" si="12"/>
        <v>250</v>
      </c>
      <c r="M25" s="97">
        <f t="shared" si="12"/>
        <v>250</v>
      </c>
      <c r="N25" s="97">
        <f t="shared" si="12"/>
        <v>250</v>
      </c>
      <c r="O25" s="97">
        <f t="shared" si="12"/>
        <v>250</v>
      </c>
      <c r="P25" s="97">
        <f t="shared" si="12"/>
        <v>250</v>
      </c>
      <c r="Q25" s="356">
        <f>+'14 Cedula de Depreciaciones'!E55</f>
        <v>2500</v>
      </c>
      <c r="R25" s="1362">
        <f t="shared" si="13"/>
        <v>208.33333333333334</v>
      </c>
      <c r="S25" s="1305">
        <f t="shared" si="13"/>
        <v>208.33333333333334</v>
      </c>
      <c r="T25" s="1305">
        <f t="shared" si="13"/>
        <v>208.33333333333334</v>
      </c>
      <c r="U25" s="1305">
        <f t="shared" si="13"/>
        <v>208.33333333333334</v>
      </c>
      <c r="V25" s="1305">
        <f t="shared" si="13"/>
        <v>208.33333333333334</v>
      </c>
      <c r="W25" s="1305">
        <f t="shared" si="13"/>
        <v>208.33333333333334</v>
      </c>
      <c r="X25" s="1305">
        <f t="shared" si="13"/>
        <v>208.33333333333334</v>
      </c>
      <c r="Y25" s="1305">
        <f t="shared" si="13"/>
        <v>208.33333333333334</v>
      </c>
      <c r="Z25" s="1305">
        <f t="shared" si="13"/>
        <v>208.33333333333334</v>
      </c>
      <c r="AA25" s="1305">
        <f t="shared" si="13"/>
        <v>208.33333333333334</v>
      </c>
      <c r="AB25" s="1305">
        <f t="shared" si="13"/>
        <v>208.33333333333334</v>
      </c>
      <c r="AC25" s="1305">
        <f t="shared" si="13"/>
        <v>208.33333333333334</v>
      </c>
      <c r="AD25" s="1346">
        <f>+'14 Cedula de Depreciaciones'!F59</f>
        <v>2500</v>
      </c>
      <c r="AE25" s="1362">
        <f>+Q25</f>
        <v>2500</v>
      </c>
      <c r="AF25" s="1305">
        <f>+AD25</f>
        <v>2500</v>
      </c>
      <c r="AG25" s="1305">
        <f>+'14 Cedula de Depreciaciones'!G59</f>
        <v>2500</v>
      </c>
      <c r="AH25" s="1305">
        <f>+'14 Cedula de Depreciaciones'!H59</f>
        <v>2500</v>
      </c>
      <c r="AI25" s="1305">
        <f>+'14 Cedula de Depreciaciones'!I59</f>
        <v>2500</v>
      </c>
      <c r="AJ25" s="1305">
        <f>+'14 Cedula de Depreciaciones'!J59</f>
        <v>2500</v>
      </c>
      <c r="AK25" s="1305">
        <f>+'14 Cedula de Depreciaciones'!K59</f>
        <v>2500</v>
      </c>
      <c r="AL25" s="1305">
        <f>+'14 Cedula de Depreciaciones'!L59</f>
        <v>2500</v>
      </c>
      <c r="AM25" s="1305">
        <f>+'14 Cedula de Depreciaciones'!M59</f>
        <v>2500</v>
      </c>
      <c r="AN25" s="1346">
        <f>+'14 Cedula de Depreciaciones'!N59</f>
        <v>2500</v>
      </c>
    </row>
    <row r="26" spans="1:40" ht="15" customHeight="1" thickBot="1" x14ac:dyDescent="0.25">
      <c r="A26" s="357" t="s">
        <v>376</v>
      </c>
      <c r="B26" s="358"/>
      <c r="C26" s="359"/>
      <c r="D26" s="341"/>
      <c r="E26" s="284">
        <f t="shared" ref="E26:M26" si="14">+E23+E24+E25</f>
        <v>0</v>
      </c>
      <c r="F26" s="117">
        <f t="shared" si="14"/>
        <v>0</v>
      </c>
      <c r="G26" s="117">
        <f t="shared" si="14"/>
        <v>85186</v>
      </c>
      <c r="H26" s="117">
        <f t="shared" si="14"/>
        <v>46271</v>
      </c>
      <c r="I26" s="117">
        <f t="shared" si="14"/>
        <v>71715</v>
      </c>
      <c r="J26" s="117">
        <f t="shared" si="14"/>
        <v>82347</v>
      </c>
      <c r="K26" s="117">
        <f t="shared" si="14"/>
        <v>77474.350000000006</v>
      </c>
      <c r="L26" s="117">
        <f t="shared" si="14"/>
        <v>59783.3</v>
      </c>
      <c r="M26" s="117">
        <f t="shared" si="14"/>
        <v>74633.5</v>
      </c>
      <c r="N26" s="117">
        <f>+N23+N24+N25</f>
        <v>90441.600000000006</v>
      </c>
      <c r="O26" s="117">
        <f t="shared" ref="O26:AN26" si="15">+O23+O24+O25</f>
        <v>62000.5</v>
      </c>
      <c r="P26" s="117">
        <f t="shared" si="15"/>
        <v>89484.9</v>
      </c>
      <c r="Q26" s="179">
        <f t="shared" si="15"/>
        <v>739337.15</v>
      </c>
      <c r="R26" s="1363">
        <f t="shared" si="15"/>
        <v>48691.19666666667</v>
      </c>
      <c r="S26" s="1364">
        <f t="shared" si="15"/>
        <v>52915.166666666672</v>
      </c>
      <c r="T26" s="1364">
        <f t="shared" si="15"/>
        <v>120246.89916666666</v>
      </c>
      <c r="U26" s="1364">
        <f t="shared" si="15"/>
        <v>58500.051666666674</v>
      </c>
      <c r="V26" s="1364">
        <f t="shared" si="15"/>
        <v>88674.026666666658</v>
      </c>
      <c r="W26" s="1364">
        <f t="shared" si="15"/>
        <v>59654.566666666673</v>
      </c>
      <c r="X26" s="1364">
        <f t="shared" si="15"/>
        <v>65065.131666666668</v>
      </c>
      <c r="Y26" s="1364">
        <f t="shared" si="15"/>
        <v>62179.69666666667</v>
      </c>
      <c r="Z26" s="1364">
        <f t="shared" si="15"/>
        <v>77946.396666666667</v>
      </c>
      <c r="AA26" s="1364">
        <f t="shared" si="15"/>
        <v>94875.026666666658</v>
      </c>
      <c r="AB26" s="1364">
        <f t="shared" si="15"/>
        <v>64810.296666666669</v>
      </c>
      <c r="AC26" s="1364">
        <f t="shared" si="15"/>
        <v>94058.456666666665</v>
      </c>
      <c r="AD26" s="1365">
        <f t="shared" si="15"/>
        <v>887616.91250000009</v>
      </c>
      <c r="AE26" s="1363">
        <f t="shared" si="15"/>
        <v>739337.15</v>
      </c>
      <c r="AF26" s="1364">
        <f t="shared" si="15"/>
        <v>887616.91250000009</v>
      </c>
      <c r="AG26" s="1364">
        <f t="shared" si="15"/>
        <v>938315.92725000007</v>
      </c>
      <c r="AH26" s="1364">
        <f t="shared" si="15"/>
        <v>1063088.8828850002</v>
      </c>
      <c r="AI26" s="1364">
        <f t="shared" si="15"/>
        <v>1155908.2158581</v>
      </c>
      <c r="AJ26" s="1364">
        <f t="shared" si="15"/>
        <v>1129547.010219289</v>
      </c>
      <c r="AK26" s="1364">
        <f t="shared" si="15"/>
        <v>1239376.466709815</v>
      </c>
      <c r="AL26" s="1364">
        <f t="shared" si="15"/>
        <v>1292701.737111886</v>
      </c>
      <c r="AM26" s="1364">
        <f t="shared" si="15"/>
        <v>1274033.0204932564</v>
      </c>
      <c r="AN26" s="1365">
        <f t="shared" si="15"/>
        <v>1397085.805476933</v>
      </c>
    </row>
    <row r="27" spans="1:40" ht="15" customHeight="1" thickBot="1" x14ac:dyDescent="0.25">
      <c r="A27" s="184"/>
      <c r="B27" s="147"/>
      <c r="C27" s="121"/>
      <c r="D27" s="121"/>
      <c r="E27" s="121"/>
      <c r="F27" s="121"/>
      <c r="G27" s="121"/>
      <c r="H27" s="121"/>
      <c r="I27" s="121"/>
      <c r="J27" s="121"/>
      <c r="K27" s="121"/>
      <c r="L27" s="121"/>
      <c r="M27" s="121"/>
      <c r="N27" s="121"/>
      <c r="O27" s="121"/>
      <c r="P27" s="121"/>
      <c r="Q27" s="128"/>
      <c r="R27" s="1366"/>
      <c r="S27" s="1367"/>
      <c r="T27" s="1367"/>
      <c r="U27" s="1367"/>
      <c r="V27" s="1367"/>
      <c r="W27" s="1367"/>
      <c r="X27" s="1367"/>
      <c r="Y27" s="1367"/>
      <c r="Z27" s="1367"/>
      <c r="AA27" s="1367"/>
      <c r="AB27" s="1367"/>
      <c r="AC27" s="1367"/>
      <c r="AD27" s="1368"/>
      <c r="AE27" s="1366"/>
      <c r="AF27" s="1367"/>
      <c r="AG27" s="1367"/>
      <c r="AH27" s="1367"/>
      <c r="AI27" s="1367"/>
      <c r="AJ27" s="1367"/>
      <c r="AK27" s="1367"/>
      <c r="AL27" s="1367"/>
      <c r="AM27" s="1367"/>
      <c r="AN27" s="1368"/>
    </row>
    <row r="28" spans="1:40" s="8" customFormat="1" ht="21.6" customHeight="1" thickBot="1" x14ac:dyDescent="0.35">
      <c r="A28" s="1851" t="s">
        <v>281</v>
      </c>
      <c r="B28" s="1853" t="s">
        <v>320</v>
      </c>
      <c r="C28" s="1819" t="s">
        <v>318</v>
      </c>
      <c r="D28" s="1844" t="s">
        <v>319</v>
      </c>
      <c r="E28" s="1628" t="s">
        <v>239</v>
      </c>
      <c r="F28" s="1628"/>
      <c r="G28" s="1628"/>
      <c r="H28" s="1628"/>
      <c r="I28" s="1628"/>
      <c r="J28" s="1628"/>
      <c r="K28" s="1628"/>
      <c r="L28" s="1628"/>
      <c r="M28" s="1628"/>
      <c r="N28" s="1628"/>
      <c r="O28" s="1628"/>
      <c r="P28" s="1628"/>
      <c r="Q28" s="1629"/>
      <c r="R28" s="1627" t="str">
        <f>+E28</f>
        <v>Sueldos del personal administrativo</v>
      </c>
      <c r="S28" s="1628"/>
      <c r="T28" s="1628"/>
      <c r="U28" s="1628"/>
      <c r="V28" s="1628"/>
      <c r="W28" s="1628"/>
      <c r="X28" s="1628"/>
      <c r="Y28" s="1628"/>
      <c r="Z28" s="1628"/>
      <c r="AA28" s="1628"/>
      <c r="AB28" s="1628"/>
      <c r="AC28" s="1628"/>
      <c r="AD28" s="1629"/>
      <c r="AE28" s="1627" t="str">
        <f>+R28</f>
        <v>Sueldos del personal administrativo</v>
      </c>
      <c r="AF28" s="1628"/>
      <c r="AG28" s="1628"/>
      <c r="AH28" s="1628"/>
      <c r="AI28" s="1628"/>
      <c r="AJ28" s="1628"/>
      <c r="AK28" s="1628"/>
      <c r="AL28" s="1628"/>
      <c r="AM28" s="1628"/>
      <c r="AN28" s="1629"/>
    </row>
    <row r="29" spans="1:40" s="9" customFormat="1" ht="21.6" customHeight="1" thickBot="1" x14ac:dyDescent="0.35">
      <c r="A29" s="1852"/>
      <c r="B29" s="1854"/>
      <c r="C29" s="1820"/>
      <c r="D29" s="1845"/>
      <c r="E29" s="1842" t="s">
        <v>72</v>
      </c>
      <c r="F29" s="1842"/>
      <c r="G29" s="1842"/>
      <c r="H29" s="1842"/>
      <c r="I29" s="1842"/>
      <c r="J29" s="1842"/>
      <c r="K29" s="1842"/>
      <c r="L29" s="1842"/>
      <c r="M29" s="1842"/>
      <c r="N29" s="1842"/>
      <c r="O29" s="1842"/>
      <c r="P29" s="1843"/>
      <c r="Q29" s="1832" t="s">
        <v>80</v>
      </c>
      <c r="R29" s="1829" t="s">
        <v>111</v>
      </c>
      <c r="S29" s="1830"/>
      <c r="T29" s="1830"/>
      <c r="U29" s="1830"/>
      <c r="V29" s="1830"/>
      <c r="W29" s="1830"/>
      <c r="X29" s="1830"/>
      <c r="Y29" s="1830"/>
      <c r="Z29" s="1830"/>
      <c r="AA29" s="1830"/>
      <c r="AB29" s="1830"/>
      <c r="AC29" s="1831"/>
      <c r="AD29" s="1827" t="s">
        <v>141</v>
      </c>
      <c r="AE29" s="1255" t="s">
        <v>1</v>
      </c>
      <c r="AF29" s="1256" t="s">
        <v>1</v>
      </c>
      <c r="AG29" s="1256" t="s">
        <v>1</v>
      </c>
      <c r="AH29" s="1256" t="s">
        <v>1</v>
      </c>
      <c r="AI29" s="1256" t="s">
        <v>1</v>
      </c>
      <c r="AJ29" s="1256" t="s">
        <v>1</v>
      </c>
      <c r="AK29" s="1256" t="s">
        <v>1</v>
      </c>
      <c r="AL29" s="1256" t="s">
        <v>1</v>
      </c>
      <c r="AM29" s="1256" t="s">
        <v>1</v>
      </c>
      <c r="AN29" s="1257" t="s">
        <v>1</v>
      </c>
    </row>
    <row r="30" spans="1:40" s="9" customFormat="1" ht="21.6" customHeight="1" thickBot="1" x14ac:dyDescent="0.35">
      <c r="A30" s="1852"/>
      <c r="B30" s="1855"/>
      <c r="C30" s="1821"/>
      <c r="D30" s="1846"/>
      <c r="E30" s="361" t="str">
        <f t="shared" ref="E30:P30" si="16">+E6</f>
        <v>Ene</v>
      </c>
      <c r="F30" s="362" t="str">
        <f t="shared" si="16"/>
        <v>Feb</v>
      </c>
      <c r="G30" s="362" t="str">
        <f t="shared" si="16"/>
        <v>Mar</v>
      </c>
      <c r="H30" s="362" t="str">
        <f t="shared" si="16"/>
        <v>Abr</v>
      </c>
      <c r="I30" s="362" t="str">
        <f t="shared" si="16"/>
        <v>May</v>
      </c>
      <c r="J30" s="362" t="str">
        <f t="shared" si="16"/>
        <v>Jun</v>
      </c>
      <c r="K30" s="362" t="str">
        <f t="shared" si="16"/>
        <v>Jul</v>
      </c>
      <c r="L30" s="362" t="str">
        <f t="shared" si="16"/>
        <v>Ago</v>
      </c>
      <c r="M30" s="362" t="str">
        <f t="shared" si="16"/>
        <v>Sep</v>
      </c>
      <c r="N30" s="362" t="str">
        <f t="shared" si="16"/>
        <v>Oct</v>
      </c>
      <c r="O30" s="362" t="str">
        <f t="shared" si="16"/>
        <v>Nov</v>
      </c>
      <c r="P30" s="363" t="str">
        <f t="shared" si="16"/>
        <v>Dic</v>
      </c>
      <c r="Q30" s="1833"/>
      <c r="R30" s="364" t="str">
        <f t="shared" ref="R30:AC30" si="17">+R6</f>
        <v>Ene</v>
      </c>
      <c r="S30" s="362" t="str">
        <f t="shared" si="17"/>
        <v>Feb</v>
      </c>
      <c r="T30" s="362" t="str">
        <f t="shared" si="17"/>
        <v>Mar</v>
      </c>
      <c r="U30" s="362" t="str">
        <f t="shared" si="17"/>
        <v>Abr</v>
      </c>
      <c r="V30" s="362" t="str">
        <f t="shared" si="17"/>
        <v>May</v>
      </c>
      <c r="W30" s="362" t="str">
        <f t="shared" si="17"/>
        <v>Jun</v>
      </c>
      <c r="X30" s="362" t="str">
        <f t="shared" si="17"/>
        <v>Jul</v>
      </c>
      <c r="Y30" s="362" t="str">
        <f t="shared" si="17"/>
        <v>Ago</v>
      </c>
      <c r="Z30" s="362" t="str">
        <f t="shared" si="17"/>
        <v>Sep</v>
      </c>
      <c r="AA30" s="362" t="str">
        <f t="shared" si="17"/>
        <v>Oct</v>
      </c>
      <c r="AB30" s="362" t="str">
        <f t="shared" si="17"/>
        <v>Nov</v>
      </c>
      <c r="AC30" s="363" t="str">
        <f t="shared" si="17"/>
        <v>Dic</v>
      </c>
      <c r="AD30" s="1828"/>
      <c r="AE30" s="210">
        <f>+AE6</f>
        <v>2017</v>
      </c>
      <c r="AF30" s="211">
        <f>+AE30+1</f>
        <v>2018</v>
      </c>
      <c r="AG30" s="211">
        <f t="shared" ref="AG30:AN30" si="18">+AF30+1</f>
        <v>2019</v>
      </c>
      <c r="AH30" s="211">
        <f t="shared" si="18"/>
        <v>2020</v>
      </c>
      <c r="AI30" s="211">
        <f t="shared" si="18"/>
        <v>2021</v>
      </c>
      <c r="AJ30" s="211">
        <f t="shared" si="18"/>
        <v>2022</v>
      </c>
      <c r="AK30" s="211">
        <f t="shared" si="18"/>
        <v>2023</v>
      </c>
      <c r="AL30" s="211">
        <f t="shared" si="18"/>
        <v>2024</v>
      </c>
      <c r="AM30" s="211">
        <f t="shared" si="18"/>
        <v>2025</v>
      </c>
      <c r="AN30" s="212">
        <f t="shared" si="18"/>
        <v>2026</v>
      </c>
    </row>
    <row r="31" spans="1:40" ht="15" customHeight="1" x14ac:dyDescent="0.2">
      <c r="A31" s="1320" t="s">
        <v>407</v>
      </c>
      <c r="B31" s="1321">
        <v>1</v>
      </c>
      <c r="C31" s="1322">
        <v>18000</v>
      </c>
      <c r="D31" s="1323">
        <f>C31*'19 Resumen'!$L$8</f>
        <v>18000</v>
      </c>
      <c r="E31" s="1308">
        <f>IF(E$3&lt;'19 Resumen'!$M$4-3,0,+$D31*$B31)</f>
        <v>0</v>
      </c>
      <c r="F31" s="1309">
        <f>IF(F$3&lt;'19 Resumen'!$M$4-3,0,+$D31*$B31)</f>
        <v>0</v>
      </c>
      <c r="G31" s="1309">
        <f>IF(G$3&lt;'19 Resumen'!$M$4-3,0,+$D31*$B31)</f>
        <v>18000</v>
      </c>
      <c r="H31" s="1309">
        <f>IF(H$3&lt;'19 Resumen'!$M$4-3,0,+$D31*$B31)</f>
        <v>18000</v>
      </c>
      <c r="I31" s="1309">
        <f>IF(I$3&lt;'19 Resumen'!$M$4-3,0,+$D31*$B31)</f>
        <v>18000</v>
      </c>
      <c r="J31" s="1309">
        <f>IF(J$3&lt;'19 Resumen'!$M$4-3,0,+$D31*$B31)</f>
        <v>18000</v>
      </c>
      <c r="K31" s="1309">
        <f>IF(K$3&lt;'19 Resumen'!$M$4-3,0,+$D31*$B31)</f>
        <v>18000</v>
      </c>
      <c r="L31" s="1309">
        <f>IF(L$3&lt;'19 Resumen'!$M$4-3,0,+$D31*$B31)</f>
        <v>18000</v>
      </c>
      <c r="M31" s="1309">
        <f>IF(M$3&lt;'19 Resumen'!$M$4-3,0,+$D31*$B31)</f>
        <v>18000</v>
      </c>
      <c r="N31" s="1309">
        <f>IF(N$3&lt;'19 Resumen'!$M$4-3,0,+$D31*$B31)</f>
        <v>18000</v>
      </c>
      <c r="O31" s="1309">
        <f>IF(O$3&lt;'19 Resumen'!$M$4-3,0,+$D31*$B31)</f>
        <v>18000</v>
      </c>
      <c r="P31" s="1309">
        <f>IF(P$3&lt;'19 Resumen'!$M$4-3,0,+$D31*$B31)</f>
        <v>18000</v>
      </c>
      <c r="Q31" s="1324">
        <f t="shared" ref="Q31:Q36" si="19">SUM(E31:P31)</f>
        <v>180000</v>
      </c>
      <c r="R31" s="1422">
        <f>+$D31*$B31*(1+'19 Resumen'!$E$31)</f>
        <v>19440</v>
      </c>
      <c r="S31" s="1369">
        <f>+$D31*$B31*(1+'19 Resumen'!$E$31)</f>
        <v>19440</v>
      </c>
      <c r="T31" s="1369">
        <f>+$D31*$B31*(1+'19 Resumen'!$E$31)</f>
        <v>19440</v>
      </c>
      <c r="U31" s="1369">
        <f>+$D31*$B31*(1+'19 Resumen'!$E$31)</f>
        <v>19440</v>
      </c>
      <c r="V31" s="1369">
        <f>+$D31*$B31*(1+'19 Resumen'!$E$31)</f>
        <v>19440</v>
      </c>
      <c r="W31" s="1369">
        <f>+$D31*$B31*(1+'19 Resumen'!$E$31)</f>
        <v>19440</v>
      </c>
      <c r="X31" s="1369">
        <f>+$D31*$B31*(1+'19 Resumen'!$E$31)</f>
        <v>19440</v>
      </c>
      <c r="Y31" s="1369">
        <f>+$D31*$B31*(1+'19 Resumen'!$E$31)</f>
        <v>19440</v>
      </c>
      <c r="Z31" s="1369">
        <f>+$D31*$B31*(1+'19 Resumen'!$E$31)</f>
        <v>19440</v>
      </c>
      <c r="AA31" s="1369">
        <f>+$D31*$B31*(1+'19 Resumen'!$E$31)</f>
        <v>19440</v>
      </c>
      <c r="AB31" s="1369">
        <f>+$D31*$B31*(1+'19 Resumen'!$E$31)</f>
        <v>19440</v>
      </c>
      <c r="AC31" s="1369">
        <f>+$D31*$B31*(1+'19 Resumen'!$E$31)</f>
        <v>19440</v>
      </c>
      <c r="AD31" s="1324">
        <f t="shared" ref="AD31:AD34" si="20">SUM(R31:AC31)</f>
        <v>233280</v>
      </c>
      <c r="AE31" s="1370">
        <f t="shared" ref="AE31:AE36" si="21">+Q31</f>
        <v>180000</v>
      </c>
      <c r="AF31" s="1371">
        <f t="shared" ref="AF31:AF36" si="22">+AD31</f>
        <v>233280</v>
      </c>
      <c r="AG31" s="1372">
        <f>+AF31*(1+'19 Resumen'!$F$31)</f>
        <v>251942.40000000002</v>
      </c>
      <c r="AH31" s="1372">
        <f>+AG31*(1+'19 Resumen'!$G$31)</f>
        <v>272097.79200000002</v>
      </c>
      <c r="AI31" s="1372">
        <f>+AH31*(1+'19 Resumen'!$H$31)</f>
        <v>293865.61536000005</v>
      </c>
      <c r="AJ31" s="1372">
        <f>+AI31*(1+'19 Resumen'!$I$31)</f>
        <v>312673.01474304008</v>
      </c>
      <c r="AK31" s="1372">
        <f>+AJ31*(1+'19 Resumen'!$I$31)</f>
        <v>332684.08768659469</v>
      </c>
      <c r="AL31" s="1372">
        <f>+AK31*(1+'19 Resumen'!$I$31)</f>
        <v>353975.8692985368</v>
      </c>
      <c r="AM31" s="1372">
        <f>+AL31*(1+'19 Resumen'!$I$31)</f>
        <v>376630.32493364316</v>
      </c>
      <c r="AN31" s="1373">
        <f>+AM31*(1+'19 Resumen'!$I$31)</f>
        <v>400734.66572939634</v>
      </c>
    </row>
    <row r="32" spans="1:40" ht="15" customHeight="1" x14ac:dyDescent="0.2">
      <c r="A32" s="1325" t="s">
        <v>412</v>
      </c>
      <c r="B32" s="1326">
        <v>1</v>
      </c>
      <c r="C32" s="1326">
        <v>12000</v>
      </c>
      <c r="D32" s="1327">
        <f>C32*'19 Resumen'!$L$8</f>
        <v>12000</v>
      </c>
      <c r="E32" s="1314">
        <f>IF(E$3&lt;'19 Resumen'!$M$4-3,0,+$D32*$B32)</f>
        <v>0</v>
      </c>
      <c r="F32" s="1315">
        <f>IF(F$3&lt;'19 Resumen'!$M$4-3,0,+$D32*$B32)</f>
        <v>0</v>
      </c>
      <c r="G32" s="1315">
        <f>IF(G$3&lt;'19 Resumen'!$M$4-3,0,+$D32*$B32)</f>
        <v>12000</v>
      </c>
      <c r="H32" s="1315">
        <f>IF(H$3&lt;'19 Resumen'!$M$4-3,0,+$D32*$B32)</f>
        <v>12000</v>
      </c>
      <c r="I32" s="1315">
        <f>IF(I$3&lt;'19 Resumen'!$M$4-3,0,+$D32*$B32)</f>
        <v>12000</v>
      </c>
      <c r="J32" s="1315">
        <f>IF(J$3&lt;'19 Resumen'!$M$4-3,0,+$D32*$B32)</f>
        <v>12000</v>
      </c>
      <c r="K32" s="1315">
        <f>IF(K$3&lt;'19 Resumen'!$M$4-3,0,+$D32*$B32)</f>
        <v>12000</v>
      </c>
      <c r="L32" s="1315">
        <f>IF(L$3&lt;'19 Resumen'!$M$4-3,0,+$D32*$B32)</f>
        <v>12000</v>
      </c>
      <c r="M32" s="1315">
        <f>IF(M$3&lt;'19 Resumen'!$M$4-3,0,+$D32*$B32)</f>
        <v>12000</v>
      </c>
      <c r="N32" s="1315">
        <f>IF(N$3&lt;'19 Resumen'!$M$4-3,0,+$D32*$B32)</f>
        <v>12000</v>
      </c>
      <c r="O32" s="1315">
        <f>IF(O$3&lt;'19 Resumen'!$M$4-3,0,+$D32*$B32)</f>
        <v>12000</v>
      </c>
      <c r="P32" s="1315">
        <f>IF(P$3&lt;'19 Resumen'!$M$4-3,0,+$D32*$B32)</f>
        <v>12000</v>
      </c>
      <c r="Q32" s="1328">
        <f t="shared" si="19"/>
        <v>120000</v>
      </c>
      <c r="R32" s="1423">
        <f>+$D32*$B32*(1+'19 Resumen'!$E$31)</f>
        <v>12960</v>
      </c>
      <c r="S32" s="1374">
        <f>+$D32*$B32*(1+'19 Resumen'!$E$31)</f>
        <v>12960</v>
      </c>
      <c r="T32" s="1374">
        <f>+$D32*$B32*(1+'19 Resumen'!$E$31)</f>
        <v>12960</v>
      </c>
      <c r="U32" s="1374">
        <f>+$D32*$B32*(1+'19 Resumen'!$E$31)</f>
        <v>12960</v>
      </c>
      <c r="V32" s="1374">
        <f>+$D32*$B32*(1+'19 Resumen'!$E$31)</f>
        <v>12960</v>
      </c>
      <c r="W32" s="1374">
        <f>+$D32*$B32*(1+'19 Resumen'!$E$31)</f>
        <v>12960</v>
      </c>
      <c r="X32" s="1374">
        <f>+$D32*$B32*(1+'19 Resumen'!$E$31)</f>
        <v>12960</v>
      </c>
      <c r="Y32" s="1374">
        <f>+$D32*$B32*(1+'19 Resumen'!$E$31)</f>
        <v>12960</v>
      </c>
      <c r="Z32" s="1374">
        <f>+$D32*$B32*(1+'19 Resumen'!$E$31)</f>
        <v>12960</v>
      </c>
      <c r="AA32" s="1374">
        <f>+$D32*$B32*(1+'19 Resumen'!$E$31)</f>
        <v>12960</v>
      </c>
      <c r="AB32" s="1374">
        <f>+$D32*$B32*(1+'19 Resumen'!$E$31)</f>
        <v>12960</v>
      </c>
      <c r="AC32" s="1374">
        <f>+$D32*$B32*(1+'19 Resumen'!$E$31)</f>
        <v>12960</v>
      </c>
      <c r="AD32" s="1328">
        <f t="shared" si="20"/>
        <v>155520</v>
      </c>
      <c r="AE32" s="1375">
        <f t="shared" si="21"/>
        <v>120000</v>
      </c>
      <c r="AF32" s="1376">
        <f t="shared" si="22"/>
        <v>155520</v>
      </c>
      <c r="AG32" s="743">
        <f>+AF32*(1+'19 Resumen'!$F$31)</f>
        <v>167961.60000000001</v>
      </c>
      <c r="AH32" s="743">
        <f>+AG32*(1+'19 Resumen'!$G$31)</f>
        <v>181398.52800000002</v>
      </c>
      <c r="AI32" s="743">
        <f>+AH32*(1+'19 Resumen'!$H$31)</f>
        <v>195910.41024000003</v>
      </c>
      <c r="AJ32" s="743">
        <f>+AI32*(1+'19 Resumen'!$I$31)</f>
        <v>208448.67649536004</v>
      </c>
      <c r="AK32" s="743">
        <f>+AJ32*(1+'19 Resumen'!$I$31)</f>
        <v>221789.3917910631</v>
      </c>
      <c r="AL32" s="743">
        <f>+AK32*(1+'19 Resumen'!$I$31)</f>
        <v>235983.91286569115</v>
      </c>
      <c r="AM32" s="743">
        <f>+AL32*(1+'19 Resumen'!$I$31)</f>
        <v>251086.88328909539</v>
      </c>
      <c r="AN32" s="1377">
        <f>+AM32*(1+'19 Resumen'!$I$31)</f>
        <v>267156.44381959754</v>
      </c>
    </row>
    <row r="33" spans="1:40" ht="15" customHeight="1" x14ac:dyDescent="0.2">
      <c r="A33" s="1329" t="s">
        <v>658</v>
      </c>
      <c r="B33" s="1330">
        <v>1</v>
      </c>
      <c r="C33" s="1326">
        <v>12000</v>
      </c>
      <c r="D33" s="1327">
        <f>C33*'19 Resumen'!$L$8</f>
        <v>12000</v>
      </c>
      <c r="E33" s="1314">
        <f>IF(E$3&lt;'19 Resumen'!$M$4-3,0,+$D33*$B33)</f>
        <v>0</v>
      </c>
      <c r="F33" s="1315">
        <f>IF(F$3&lt;'19 Resumen'!$M$4-3,0,+$D33*$B33)</f>
        <v>0</v>
      </c>
      <c r="G33" s="1315">
        <f>IF(G$3&lt;'19 Resumen'!$M$4-3,0,+$D33*$B33)</f>
        <v>12000</v>
      </c>
      <c r="H33" s="1315">
        <f>IF(H$3&lt;'19 Resumen'!$M$4-3,0,+$D33*$B33)</f>
        <v>12000</v>
      </c>
      <c r="I33" s="1315">
        <f>IF(I$3&lt;'19 Resumen'!$M$4-3,0,+$D33*$B33)</f>
        <v>12000</v>
      </c>
      <c r="J33" s="1315">
        <f>IF(J$3&lt;'19 Resumen'!$M$4-3,0,+$D33*$B33)</f>
        <v>12000</v>
      </c>
      <c r="K33" s="1315">
        <f>IF(K$3&lt;'19 Resumen'!$M$4-3,0,+$D33*$B33)</f>
        <v>12000</v>
      </c>
      <c r="L33" s="1315">
        <f>IF(L$3&lt;'19 Resumen'!$M$4-3,0,+$D33*$B33)</f>
        <v>12000</v>
      </c>
      <c r="M33" s="1315">
        <f>IF(M$3&lt;'19 Resumen'!$M$4-3,0,+$D33*$B33)</f>
        <v>12000</v>
      </c>
      <c r="N33" s="1315">
        <f>IF(N$3&lt;'19 Resumen'!$M$4-3,0,+$D33*$B33)</f>
        <v>12000</v>
      </c>
      <c r="O33" s="1315">
        <f>IF(O$3&lt;'19 Resumen'!$M$4-3,0,+$D33*$B33)</f>
        <v>12000</v>
      </c>
      <c r="P33" s="1315">
        <f>IF(P$3&lt;'19 Resumen'!$M$4-3,0,+$D33*$B33)</f>
        <v>12000</v>
      </c>
      <c r="Q33" s="1328">
        <f t="shared" si="19"/>
        <v>120000</v>
      </c>
      <c r="R33" s="1423">
        <f>+$D33*$B33*(1+'19 Resumen'!$E$31)</f>
        <v>12960</v>
      </c>
      <c r="S33" s="1374">
        <f>+$D33*$B33*(1+'19 Resumen'!$E$31)</f>
        <v>12960</v>
      </c>
      <c r="T33" s="1374">
        <f>+$D33*$B33*(1+'19 Resumen'!$E$31)</f>
        <v>12960</v>
      </c>
      <c r="U33" s="1374">
        <f>+$D33*$B33*(1+'19 Resumen'!$E$31)</f>
        <v>12960</v>
      </c>
      <c r="V33" s="1374">
        <f>+$D33*$B33*(1+'19 Resumen'!$E$31)</f>
        <v>12960</v>
      </c>
      <c r="W33" s="1374">
        <f>+$D33*$B33*(1+'19 Resumen'!$E$31)</f>
        <v>12960</v>
      </c>
      <c r="X33" s="1374">
        <f>+$D33*$B33*(1+'19 Resumen'!$E$31)</f>
        <v>12960</v>
      </c>
      <c r="Y33" s="1374">
        <f>+$D33*$B33*(1+'19 Resumen'!$E$31)</f>
        <v>12960</v>
      </c>
      <c r="Z33" s="1374">
        <f>+$D33*$B33*(1+'19 Resumen'!$E$31)</f>
        <v>12960</v>
      </c>
      <c r="AA33" s="1374">
        <f>+$D33*$B33*(1+'19 Resumen'!$E$31)</f>
        <v>12960</v>
      </c>
      <c r="AB33" s="1374">
        <f>+$D33*$B33*(1+'19 Resumen'!$E$31)</f>
        <v>12960</v>
      </c>
      <c r="AC33" s="1374">
        <f>+$D33*$B33*(1+'19 Resumen'!$E$31)</f>
        <v>12960</v>
      </c>
      <c r="AD33" s="1328">
        <f t="shared" si="20"/>
        <v>155520</v>
      </c>
      <c r="AE33" s="1375">
        <f t="shared" si="21"/>
        <v>120000</v>
      </c>
      <c r="AF33" s="1376">
        <f t="shared" si="22"/>
        <v>155520</v>
      </c>
      <c r="AG33" s="743">
        <f>+AF33*(1+'19 Resumen'!$F$31)</f>
        <v>167961.60000000001</v>
      </c>
      <c r="AH33" s="743">
        <f>+AG33*(1+'19 Resumen'!$G$31)</f>
        <v>181398.52800000002</v>
      </c>
      <c r="AI33" s="743">
        <f>+AH33*(1+'19 Resumen'!$H$31)</f>
        <v>195910.41024000003</v>
      </c>
      <c r="AJ33" s="743">
        <f>+AI33*(1+'19 Resumen'!$I$31)</f>
        <v>208448.67649536004</v>
      </c>
      <c r="AK33" s="743">
        <f>+AJ33*(1+'19 Resumen'!$I$31)</f>
        <v>221789.3917910631</v>
      </c>
      <c r="AL33" s="743">
        <f>+AK33*(1+'19 Resumen'!$I$31)</f>
        <v>235983.91286569115</v>
      </c>
      <c r="AM33" s="743">
        <f>+AL33*(1+'19 Resumen'!$I$31)</f>
        <v>251086.88328909539</v>
      </c>
      <c r="AN33" s="1377">
        <f>+AM33*(1+'19 Resumen'!$I$31)</f>
        <v>267156.44381959754</v>
      </c>
    </row>
    <row r="34" spans="1:40" ht="15" customHeight="1" x14ac:dyDescent="0.2">
      <c r="A34" s="1329" t="s">
        <v>659</v>
      </c>
      <c r="B34" s="1330">
        <v>1</v>
      </c>
      <c r="C34" s="1326">
        <v>9000</v>
      </c>
      <c r="D34" s="1327">
        <f>C34*'19 Resumen'!$L$8</f>
        <v>9000</v>
      </c>
      <c r="E34" s="1314">
        <f>IF(E$3&lt;'19 Resumen'!$M$4-3,0,+$D34*$B34)</f>
        <v>0</v>
      </c>
      <c r="F34" s="1315">
        <f>IF(F$3&lt;'19 Resumen'!$M$4-3,0,+$D34*$B34)</f>
        <v>0</v>
      </c>
      <c r="G34" s="1315">
        <f>IF(G$3&lt;'19 Resumen'!$M$4-3,0,+$D34*$B34)</f>
        <v>9000</v>
      </c>
      <c r="H34" s="1315">
        <f>IF(H$3&lt;'19 Resumen'!$M$4-3,0,+$D34*$B34)</f>
        <v>9000</v>
      </c>
      <c r="I34" s="1315">
        <f>IF(I$3&lt;'19 Resumen'!$M$4-3,0,+$D34*$B34)</f>
        <v>9000</v>
      </c>
      <c r="J34" s="1315">
        <f>IF(J$3&lt;'19 Resumen'!$M$4-3,0,+$D34*$B34)</f>
        <v>9000</v>
      </c>
      <c r="K34" s="1315">
        <f>IF(K$3&lt;'19 Resumen'!$M$4-3,0,+$D34*$B34)</f>
        <v>9000</v>
      </c>
      <c r="L34" s="1315">
        <f>IF(L$3&lt;'19 Resumen'!$M$4-3,0,+$D34*$B34)</f>
        <v>9000</v>
      </c>
      <c r="M34" s="1315">
        <f>IF(M$3&lt;'19 Resumen'!$M$4-3,0,+$D34*$B34)</f>
        <v>9000</v>
      </c>
      <c r="N34" s="1315">
        <f>IF(N$3&lt;'19 Resumen'!$M$4-3,0,+$D34*$B34)</f>
        <v>9000</v>
      </c>
      <c r="O34" s="1315">
        <f>IF(O$3&lt;'19 Resumen'!$M$4-3,0,+$D34*$B34)</f>
        <v>9000</v>
      </c>
      <c r="P34" s="1315">
        <f>IF(P$3&lt;'19 Resumen'!$M$4-3,0,+$D34*$B34)</f>
        <v>9000</v>
      </c>
      <c r="Q34" s="1328">
        <f t="shared" si="19"/>
        <v>90000</v>
      </c>
      <c r="R34" s="1423">
        <f>+$D34*$B34*(1+'19 Resumen'!$E$31)</f>
        <v>9720</v>
      </c>
      <c r="S34" s="1374">
        <f>+$D34*$B34*(1+'19 Resumen'!$E$31)</f>
        <v>9720</v>
      </c>
      <c r="T34" s="1374">
        <f>+$D34*$B34*(1+'19 Resumen'!$E$31)</f>
        <v>9720</v>
      </c>
      <c r="U34" s="1374">
        <f>+$D34*$B34*(1+'19 Resumen'!$E$31)</f>
        <v>9720</v>
      </c>
      <c r="V34" s="1374">
        <f>+$D34*$B34*(1+'19 Resumen'!$E$31)</f>
        <v>9720</v>
      </c>
      <c r="W34" s="1374">
        <f>+$D34*$B34*(1+'19 Resumen'!$E$31)</f>
        <v>9720</v>
      </c>
      <c r="X34" s="1374">
        <f>+$D34*$B34*(1+'19 Resumen'!$E$31)</f>
        <v>9720</v>
      </c>
      <c r="Y34" s="1374">
        <f>+$D34*$B34*(1+'19 Resumen'!$E$31)</f>
        <v>9720</v>
      </c>
      <c r="Z34" s="1374">
        <f>+$D34*$B34*(1+'19 Resumen'!$E$31)</f>
        <v>9720</v>
      </c>
      <c r="AA34" s="1374">
        <f>+$D34*$B34*(1+'19 Resumen'!$E$31)</f>
        <v>9720</v>
      </c>
      <c r="AB34" s="1374">
        <f>+$D34*$B34*(1+'19 Resumen'!$E$31)</f>
        <v>9720</v>
      </c>
      <c r="AC34" s="1374">
        <f>+$D34*$B34*(1+'19 Resumen'!$E$31)</f>
        <v>9720</v>
      </c>
      <c r="AD34" s="1328">
        <f t="shared" si="20"/>
        <v>116640</v>
      </c>
      <c r="AE34" s="1375">
        <f t="shared" si="21"/>
        <v>90000</v>
      </c>
      <c r="AF34" s="1376">
        <f t="shared" si="22"/>
        <v>116640</v>
      </c>
      <c r="AG34" s="743">
        <f>+AF34*(1+'19 Resumen'!$F$31)</f>
        <v>125971.20000000001</v>
      </c>
      <c r="AH34" s="743">
        <f>+AG34*(1+'19 Resumen'!$G$31)</f>
        <v>136048.89600000001</v>
      </c>
      <c r="AI34" s="743">
        <f>+AH34*(1+'19 Resumen'!$H$31)</f>
        <v>146932.80768000003</v>
      </c>
      <c r="AJ34" s="743">
        <f>+AI34*(1+'19 Resumen'!$I$31)</f>
        <v>156336.50737152004</v>
      </c>
      <c r="AK34" s="743">
        <f>+AJ34*(1+'19 Resumen'!$I$31)</f>
        <v>166342.04384329735</v>
      </c>
      <c r="AL34" s="743">
        <f>+AK34*(1+'19 Resumen'!$I$31)</f>
        <v>176987.9346492684</v>
      </c>
      <c r="AM34" s="743">
        <f>+AL34*(1+'19 Resumen'!$I$31)</f>
        <v>188315.16246682158</v>
      </c>
      <c r="AN34" s="1377">
        <f>+AM34*(1+'19 Resumen'!$I$31)</f>
        <v>200367.33286469817</v>
      </c>
    </row>
    <row r="35" spans="1:40" ht="15" customHeight="1" x14ac:dyDescent="0.2">
      <c r="A35" s="1329" t="s">
        <v>660</v>
      </c>
      <c r="B35" s="1330">
        <v>3</v>
      </c>
      <c r="C35" s="1326">
        <v>10000</v>
      </c>
      <c r="D35" s="1327">
        <f>C35*'19 Resumen'!$L$8</f>
        <v>10000</v>
      </c>
      <c r="E35" s="1314">
        <f>IF(E$3&lt;'19 Resumen'!$M$4-3,0,+$D35*$B35)</f>
        <v>0</v>
      </c>
      <c r="F35" s="1315">
        <f>IF(F$3&lt;'19 Resumen'!$M$4-3,0,+$D35*$B35)</f>
        <v>0</v>
      </c>
      <c r="G35" s="1315">
        <f>IF(G$3&lt;'19 Resumen'!$M$4-3,0,+$D35*$B35)</f>
        <v>30000</v>
      </c>
      <c r="H35" s="1315">
        <f>IF(H$3&lt;'19 Resumen'!$M$4-3,0,+$D35*$B35)</f>
        <v>30000</v>
      </c>
      <c r="I35" s="1315">
        <f>IF(I$3&lt;'19 Resumen'!$M$4-3,0,+$D35*$B35)</f>
        <v>30000</v>
      </c>
      <c r="J35" s="1315">
        <f>IF(J$3&lt;'19 Resumen'!$M$4-3,0,+$D35*$B35)</f>
        <v>30000</v>
      </c>
      <c r="K35" s="1315">
        <f>IF(K$3&lt;'19 Resumen'!$M$4-3,0,+$D35*$B35)</f>
        <v>30000</v>
      </c>
      <c r="L35" s="1315">
        <f>IF(L$3&lt;'19 Resumen'!$M$4-3,0,+$D35*$B35)</f>
        <v>30000</v>
      </c>
      <c r="M35" s="1315">
        <f>IF(M$3&lt;'19 Resumen'!$M$4-3,0,+$D35*$B35)</f>
        <v>30000</v>
      </c>
      <c r="N35" s="1315">
        <f>IF(N$3&lt;'19 Resumen'!$M$4-3,0,+$D35*$B35)</f>
        <v>30000</v>
      </c>
      <c r="O35" s="1315">
        <f>IF(O$3&lt;'19 Resumen'!$M$4-3,0,+$D35*$B35)</f>
        <v>30000</v>
      </c>
      <c r="P35" s="1315">
        <f>IF(P$3&lt;'19 Resumen'!$M$4-3,0,+$D35*$B35)</f>
        <v>30000</v>
      </c>
      <c r="Q35" s="1328">
        <f t="shared" si="19"/>
        <v>300000</v>
      </c>
      <c r="R35" s="1423">
        <f>+$D35*$B35*(1+'19 Resumen'!$E$31)</f>
        <v>32400.000000000004</v>
      </c>
      <c r="S35" s="1374">
        <f>+$D35*$B35*(1+'19 Resumen'!$E$31)</f>
        <v>32400.000000000004</v>
      </c>
      <c r="T35" s="1374">
        <f>+$D35*$B35*(1+'19 Resumen'!$E$31)</f>
        <v>32400.000000000004</v>
      </c>
      <c r="U35" s="1374">
        <f>+$D35*$B35*(1+'19 Resumen'!$E$31)</f>
        <v>32400.000000000004</v>
      </c>
      <c r="V35" s="1374">
        <f>+$D35*$B35*(1+'19 Resumen'!$E$31)</f>
        <v>32400.000000000004</v>
      </c>
      <c r="W35" s="1374">
        <f>+$D35*$B35*(1+'19 Resumen'!$E$31)</f>
        <v>32400.000000000004</v>
      </c>
      <c r="X35" s="1374">
        <f>+$D35*$B35*(1+'19 Resumen'!$E$31)</f>
        <v>32400.000000000004</v>
      </c>
      <c r="Y35" s="1374">
        <f>+$D35*$B35*(1+'19 Resumen'!$E$31)</f>
        <v>32400.000000000004</v>
      </c>
      <c r="Z35" s="1374">
        <f>+$D35*$B35*(1+'19 Resumen'!$E$31)</f>
        <v>32400.000000000004</v>
      </c>
      <c r="AA35" s="1374">
        <f>+$D35*$B35*(1+'19 Resumen'!$E$31)</f>
        <v>32400.000000000004</v>
      </c>
      <c r="AB35" s="1374">
        <f>+$D35*$B35*(1+'19 Resumen'!$E$31)</f>
        <v>32400.000000000004</v>
      </c>
      <c r="AC35" s="1374">
        <f>+$D35*$B35*(1+'19 Resumen'!$E$31)</f>
        <v>32400.000000000004</v>
      </c>
      <c r="AD35" s="1328">
        <f t="shared" ref="AD35:AD36" si="23">SUM(R35:AC35)</f>
        <v>388800.00000000006</v>
      </c>
      <c r="AE35" s="1375">
        <f t="shared" si="21"/>
        <v>300000</v>
      </c>
      <c r="AF35" s="1376">
        <f t="shared" si="22"/>
        <v>388800.00000000006</v>
      </c>
      <c r="AG35" s="743">
        <f>+AF35*(1+'19 Resumen'!$F$31)</f>
        <v>419904.00000000012</v>
      </c>
      <c r="AH35" s="743">
        <f>+AG35*(1+'19 Resumen'!$G$31)</f>
        <v>453496.32000000018</v>
      </c>
      <c r="AI35" s="743">
        <f>+AH35*(1+'19 Resumen'!$H$31)</f>
        <v>489776.02560000023</v>
      </c>
      <c r="AJ35" s="743">
        <f>+AI35*(1+'19 Resumen'!$I$31)</f>
        <v>521121.69123840029</v>
      </c>
      <c r="AK35" s="743">
        <f>+AJ35*(1+'19 Resumen'!$I$31)</f>
        <v>554473.47947765794</v>
      </c>
      <c r="AL35" s="743">
        <f>+AK35*(1+'19 Resumen'!$I$31)</f>
        <v>589959.78216422803</v>
      </c>
      <c r="AM35" s="743">
        <f>+AL35*(1+'19 Resumen'!$I$31)</f>
        <v>627717.2082227387</v>
      </c>
      <c r="AN35" s="1377">
        <f>+AM35*(1+'19 Resumen'!$I$31)</f>
        <v>667891.10954899399</v>
      </c>
    </row>
    <row r="36" spans="1:40" ht="15" customHeight="1" thickBot="1" x14ac:dyDescent="0.25">
      <c r="A36" s="1331"/>
      <c r="B36" s="1332"/>
      <c r="C36" s="1333">
        <v>1E-4</v>
      </c>
      <c r="D36" s="1334">
        <f>C36*'19 Resumen'!$L$8</f>
        <v>1E-4</v>
      </c>
      <c r="E36" s="1317">
        <f>IF(E$3&lt;'19 Resumen'!$M$4-3,0,+$D36*$B36)</f>
        <v>0</v>
      </c>
      <c r="F36" s="1318">
        <f>IF(F$3&lt;'19 Resumen'!$M$4-3,0,+$D36*$B36)</f>
        <v>0</v>
      </c>
      <c r="G36" s="1318">
        <f>IF(G$3&lt;'19 Resumen'!$M$4-3,0,+$D36*$B36)</f>
        <v>0</v>
      </c>
      <c r="H36" s="1318">
        <f>IF(H$3&lt;'19 Resumen'!$M$4-3,0,+$D36*$B36)</f>
        <v>0</v>
      </c>
      <c r="I36" s="1318">
        <f>IF(I$3&lt;'19 Resumen'!$M$4-3,0,+$D36*$B36)</f>
        <v>0</v>
      </c>
      <c r="J36" s="1318">
        <f>IF(J$3&lt;'19 Resumen'!$M$4-3,0,+$D36*$B36)</f>
        <v>0</v>
      </c>
      <c r="K36" s="1318">
        <f>IF(K$3&lt;'19 Resumen'!$M$4-3,0,+$D36*$B36)</f>
        <v>0</v>
      </c>
      <c r="L36" s="1318">
        <f>IF(L$3&lt;'19 Resumen'!$M$4-3,0,+$D36*$B36)</f>
        <v>0</v>
      </c>
      <c r="M36" s="1318">
        <f>IF(M$3&lt;'19 Resumen'!$M$4-3,0,+$D36*$B36)</f>
        <v>0</v>
      </c>
      <c r="N36" s="1318">
        <f>IF(N$3&lt;'19 Resumen'!$M$4-3,0,+$D36*$B36)</f>
        <v>0</v>
      </c>
      <c r="O36" s="1318">
        <f>IF(O$3&lt;'19 Resumen'!$M$4-3,0,+$D36*$B36)</f>
        <v>0</v>
      </c>
      <c r="P36" s="1318">
        <f>IF(P$3&lt;'19 Resumen'!$M$4-3,0,+$D36*$B36)</f>
        <v>0</v>
      </c>
      <c r="Q36" s="1335">
        <f t="shared" si="19"/>
        <v>0</v>
      </c>
      <c r="R36" s="1424">
        <f>+$D36*$B36*(1+'19 Resumen'!$E$31)</f>
        <v>0</v>
      </c>
      <c r="S36" s="1378">
        <f>+$D36*$B36*(1+'19 Resumen'!$E$31)</f>
        <v>0</v>
      </c>
      <c r="T36" s="1378">
        <f>+$D36*$B36*(1+'19 Resumen'!$E$31)</f>
        <v>0</v>
      </c>
      <c r="U36" s="1378">
        <f>+$D36*$B36*(1+'19 Resumen'!$E$31)</f>
        <v>0</v>
      </c>
      <c r="V36" s="1378">
        <f>+$D36*$B36*(1+'19 Resumen'!$E$31)</f>
        <v>0</v>
      </c>
      <c r="W36" s="1378">
        <f>+$D36*$B36*(1+'19 Resumen'!$E$31)</f>
        <v>0</v>
      </c>
      <c r="X36" s="1378">
        <f>+$D36*$B36*(1+'19 Resumen'!$E$31)</f>
        <v>0</v>
      </c>
      <c r="Y36" s="1378">
        <f>+$D36*$B36*(1+'19 Resumen'!$E$31)</f>
        <v>0</v>
      </c>
      <c r="Z36" s="1378">
        <f>+$D36*$B36*(1+'19 Resumen'!$E$31)</f>
        <v>0</v>
      </c>
      <c r="AA36" s="1378">
        <f>+$D36*$B36*(1+'19 Resumen'!$E$31)</f>
        <v>0</v>
      </c>
      <c r="AB36" s="1378">
        <f>+$D36*$B36*(1+'19 Resumen'!$E$31)</f>
        <v>0</v>
      </c>
      <c r="AC36" s="1378">
        <f>+$D36*$B36*(1+'19 Resumen'!$E$31)</f>
        <v>0</v>
      </c>
      <c r="AD36" s="1335">
        <f t="shared" si="23"/>
        <v>0</v>
      </c>
      <c r="AE36" s="1379">
        <f t="shared" si="21"/>
        <v>0</v>
      </c>
      <c r="AF36" s="1380">
        <f t="shared" si="22"/>
        <v>0</v>
      </c>
      <c r="AG36" s="1381">
        <f>+AF36*(1+'19 Resumen'!$F$31)</f>
        <v>0</v>
      </c>
      <c r="AH36" s="1381">
        <f>+AG36*(1+'19 Resumen'!$G$31)</f>
        <v>0</v>
      </c>
      <c r="AI36" s="1381">
        <f>+AH36*(1+'19 Resumen'!$H$31)</f>
        <v>0</v>
      </c>
      <c r="AJ36" s="1381">
        <f>+AI36*(1+'19 Resumen'!$I$31)</f>
        <v>0</v>
      </c>
      <c r="AK36" s="1381">
        <f>+AJ36*(1+'19 Resumen'!$I$31)</f>
        <v>0</v>
      </c>
      <c r="AL36" s="1381">
        <f>+AK36*(1+'19 Resumen'!$I$31)</f>
        <v>0</v>
      </c>
      <c r="AM36" s="1381">
        <f>+AL36*(1+'19 Resumen'!$I$31)</f>
        <v>0</v>
      </c>
      <c r="AN36" s="1382">
        <f>+AM36*(1+'19 Resumen'!$I$31)</f>
        <v>0</v>
      </c>
    </row>
    <row r="37" spans="1:40" ht="15" customHeight="1" x14ac:dyDescent="0.2">
      <c r="A37" s="1836" t="s">
        <v>92</v>
      </c>
      <c r="B37" s="1837"/>
      <c r="C37" s="368"/>
      <c r="D37" s="368"/>
      <c r="E37" s="369"/>
      <c r="F37" s="369">
        <f t="shared" ref="F37:P37" si="24">SUM(F31:F36)</f>
        <v>0</v>
      </c>
      <c r="G37" s="369">
        <f t="shared" si="24"/>
        <v>81000</v>
      </c>
      <c r="H37" s="369">
        <f t="shared" si="24"/>
        <v>81000</v>
      </c>
      <c r="I37" s="369">
        <f t="shared" si="24"/>
        <v>81000</v>
      </c>
      <c r="J37" s="369">
        <f t="shared" si="24"/>
        <v>81000</v>
      </c>
      <c r="K37" s="369">
        <f t="shared" si="24"/>
        <v>81000</v>
      </c>
      <c r="L37" s="369">
        <f t="shared" si="24"/>
        <v>81000</v>
      </c>
      <c r="M37" s="369">
        <f t="shared" si="24"/>
        <v>81000</v>
      </c>
      <c r="N37" s="369">
        <f t="shared" si="24"/>
        <v>81000</v>
      </c>
      <c r="O37" s="369">
        <f t="shared" si="24"/>
        <v>81000</v>
      </c>
      <c r="P37" s="369">
        <f t="shared" si="24"/>
        <v>81000</v>
      </c>
      <c r="Q37" s="370">
        <f>SUM(Q31:Q36)*'19 Resumen'!$L$8</f>
        <v>810000</v>
      </c>
      <c r="R37" s="1383">
        <f>SUM(R31:R36)</f>
        <v>87480</v>
      </c>
      <c r="S37" s="1384">
        <f t="shared" ref="S37:AC37" si="25">SUM(S31:S36)</f>
        <v>87480</v>
      </c>
      <c r="T37" s="1384">
        <f t="shared" si="25"/>
        <v>87480</v>
      </c>
      <c r="U37" s="1384">
        <f t="shared" si="25"/>
        <v>87480</v>
      </c>
      <c r="V37" s="1384">
        <f t="shared" si="25"/>
        <v>87480</v>
      </c>
      <c r="W37" s="1384">
        <f t="shared" si="25"/>
        <v>87480</v>
      </c>
      <c r="X37" s="1384">
        <f t="shared" si="25"/>
        <v>87480</v>
      </c>
      <c r="Y37" s="1384">
        <f t="shared" si="25"/>
        <v>87480</v>
      </c>
      <c r="Z37" s="1384">
        <f t="shared" si="25"/>
        <v>87480</v>
      </c>
      <c r="AA37" s="1384">
        <f t="shared" si="25"/>
        <v>87480</v>
      </c>
      <c r="AB37" s="1384">
        <f t="shared" si="25"/>
        <v>87480</v>
      </c>
      <c r="AC37" s="1384">
        <f t="shared" si="25"/>
        <v>87480</v>
      </c>
      <c r="AD37" s="1385">
        <f>SUM(AD31:AD36)</f>
        <v>1049760</v>
      </c>
      <c r="AE37" s="1383">
        <f>SUM(AE31:AE36)</f>
        <v>810000</v>
      </c>
      <c r="AF37" s="1384">
        <f t="shared" ref="AF37:AN37" si="26">SUM(AF31:AF36)</f>
        <v>1049760</v>
      </c>
      <c r="AG37" s="1384">
        <f t="shared" si="26"/>
        <v>1133740.8000000003</v>
      </c>
      <c r="AH37" s="1384">
        <f t="shared" si="26"/>
        <v>1224440.0640000002</v>
      </c>
      <c r="AI37" s="1384">
        <f t="shared" si="26"/>
        <v>1322395.2691200003</v>
      </c>
      <c r="AJ37" s="1384">
        <f t="shared" si="26"/>
        <v>1407028.5663436805</v>
      </c>
      <c r="AK37" s="1384">
        <f t="shared" si="26"/>
        <v>1497078.3945896763</v>
      </c>
      <c r="AL37" s="1384">
        <f t="shared" si="26"/>
        <v>1592891.4118434153</v>
      </c>
      <c r="AM37" s="1384">
        <f t="shared" si="26"/>
        <v>1694836.4622013941</v>
      </c>
      <c r="AN37" s="1385">
        <f t="shared" si="26"/>
        <v>1803305.9957822836</v>
      </c>
    </row>
    <row r="38" spans="1:40" ht="15" customHeight="1" x14ac:dyDescent="0.2">
      <c r="A38" s="1838" t="s">
        <v>93</v>
      </c>
      <c r="B38" s="1839"/>
      <c r="C38" s="371"/>
      <c r="D38" s="371"/>
      <c r="E38" s="365">
        <f>+E37*('19 Resumen'!$M$2)</f>
        <v>0</v>
      </c>
      <c r="F38" s="366">
        <f>+F37*('19 Resumen'!$M$2)</f>
        <v>0</v>
      </c>
      <c r="G38" s="366">
        <f>+G37*('19 Resumen'!$M$2)</f>
        <v>56700</v>
      </c>
      <c r="H38" s="366">
        <f>+H37*('19 Resumen'!$M$2)</f>
        <v>56700</v>
      </c>
      <c r="I38" s="366">
        <f>+I37*('19 Resumen'!$M$2)</f>
        <v>56700</v>
      </c>
      <c r="J38" s="366">
        <f>+J37*('19 Resumen'!$M$2)</f>
        <v>56700</v>
      </c>
      <c r="K38" s="366">
        <f>+K37*('19 Resumen'!$M$2)</f>
        <v>56700</v>
      </c>
      <c r="L38" s="366">
        <f>+L37*('19 Resumen'!$M$2)</f>
        <v>56700</v>
      </c>
      <c r="M38" s="366">
        <f>+M37*('19 Resumen'!$M$2)</f>
        <v>56700</v>
      </c>
      <c r="N38" s="366">
        <f>+N37*('19 Resumen'!$M$2)</f>
        <v>56700</v>
      </c>
      <c r="O38" s="366">
        <f>+O37*('19 Resumen'!$M$2)</f>
        <v>56700</v>
      </c>
      <c r="P38" s="366">
        <f>+P37*('19 Resumen'!$M$2)</f>
        <v>56700</v>
      </c>
      <c r="Q38" s="221">
        <f>SUM(E38:P38)</f>
        <v>567000</v>
      </c>
      <c r="R38" s="1386">
        <f>+R37*('19 Resumen'!$M$2)</f>
        <v>61235.999999999993</v>
      </c>
      <c r="S38" s="1376">
        <f>+S37*('19 Resumen'!$M$2)</f>
        <v>61235.999999999993</v>
      </c>
      <c r="T38" s="1376">
        <f>+T37*('19 Resumen'!$M$2)</f>
        <v>61235.999999999993</v>
      </c>
      <c r="U38" s="1376">
        <f>+U37*('19 Resumen'!$M$2)</f>
        <v>61235.999999999993</v>
      </c>
      <c r="V38" s="1376">
        <f>+V37*('19 Resumen'!$M$2)</f>
        <v>61235.999999999993</v>
      </c>
      <c r="W38" s="1376">
        <f>+W37*('19 Resumen'!$M$2)</f>
        <v>61235.999999999993</v>
      </c>
      <c r="X38" s="1376">
        <f>+X37*('19 Resumen'!$M$2)</f>
        <v>61235.999999999993</v>
      </c>
      <c r="Y38" s="1376">
        <f>+Y37*('19 Resumen'!$M$2)</f>
        <v>61235.999999999993</v>
      </c>
      <c r="Z38" s="1376">
        <f>+Z37*('19 Resumen'!$M$2)</f>
        <v>61235.999999999993</v>
      </c>
      <c r="AA38" s="1376">
        <f>+AA37*('19 Resumen'!$M$2)</f>
        <v>61235.999999999993</v>
      </c>
      <c r="AB38" s="1376">
        <f>+AB37*('19 Resumen'!$M$2)</f>
        <v>61235.999999999993</v>
      </c>
      <c r="AC38" s="1376">
        <f>+AC37*('19 Resumen'!$M$2)</f>
        <v>61235.999999999993</v>
      </c>
      <c r="AD38" s="1387">
        <f>SUM(R38:AC38)</f>
        <v>734831.99999999988</v>
      </c>
      <c r="AE38" s="1386">
        <f>+Q38</f>
        <v>567000</v>
      </c>
      <c r="AF38" s="1376">
        <f>+AD38</f>
        <v>734831.99999999988</v>
      </c>
      <c r="AG38" s="1376">
        <f>+AD38</f>
        <v>734831.99999999988</v>
      </c>
      <c r="AH38" s="1376">
        <f t="shared" ref="AH38:AN38" si="27">+AG38</f>
        <v>734831.99999999988</v>
      </c>
      <c r="AI38" s="1376">
        <f t="shared" si="27"/>
        <v>734831.99999999988</v>
      </c>
      <c r="AJ38" s="1376">
        <f t="shared" si="27"/>
        <v>734831.99999999988</v>
      </c>
      <c r="AK38" s="1376">
        <f t="shared" si="27"/>
        <v>734831.99999999988</v>
      </c>
      <c r="AL38" s="1376">
        <f t="shared" si="27"/>
        <v>734831.99999999988</v>
      </c>
      <c r="AM38" s="1376">
        <f t="shared" si="27"/>
        <v>734831.99999999988</v>
      </c>
      <c r="AN38" s="1388">
        <f t="shared" si="27"/>
        <v>734831.99999999988</v>
      </c>
    </row>
    <row r="39" spans="1:40" ht="13.5" thickBot="1" x14ac:dyDescent="0.25">
      <c r="A39" s="1840" t="s">
        <v>238</v>
      </c>
      <c r="B39" s="1841"/>
      <c r="C39" s="373"/>
      <c r="D39" s="373"/>
      <c r="E39" s="374">
        <f t="shared" ref="E39:AD39" si="28">+E38+E37</f>
        <v>0</v>
      </c>
      <c r="F39" s="375">
        <f t="shared" si="28"/>
        <v>0</v>
      </c>
      <c r="G39" s="375">
        <f t="shared" si="28"/>
        <v>137700</v>
      </c>
      <c r="H39" s="375">
        <f t="shared" si="28"/>
        <v>137700</v>
      </c>
      <c r="I39" s="375">
        <f t="shared" si="28"/>
        <v>137700</v>
      </c>
      <c r="J39" s="375">
        <f t="shared" si="28"/>
        <v>137700</v>
      </c>
      <c r="K39" s="375">
        <f t="shared" si="28"/>
        <v>137700</v>
      </c>
      <c r="L39" s="375">
        <f t="shared" si="28"/>
        <v>137700</v>
      </c>
      <c r="M39" s="375">
        <f t="shared" si="28"/>
        <v>137700</v>
      </c>
      <c r="N39" s="375">
        <f t="shared" si="28"/>
        <v>137700</v>
      </c>
      <c r="O39" s="375">
        <f t="shared" si="28"/>
        <v>137700</v>
      </c>
      <c r="P39" s="375">
        <f t="shared" si="28"/>
        <v>137700</v>
      </c>
      <c r="Q39" s="228">
        <f>SUM(E39:P39)</f>
        <v>1377000</v>
      </c>
      <c r="R39" s="1389">
        <f t="shared" ref="R39:AC39" si="29">+R38+R37</f>
        <v>148716</v>
      </c>
      <c r="S39" s="1390">
        <f t="shared" si="29"/>
        <v>148716</v>
      </c>
      <c r="T39" s="1390">
        <f t="shared" si="29"/>
        <v>148716</v>
      </c>
      <c r="U39" s="1390">
        <f t="shared" si="29"/>
        <v>148716</v>
      </c>
      <c r="V39" s="1390">
        <f t="shared" si="29"/>
        <v>148716</v>
      </c>
      <c r="W39" s="1390">
        <f t="shared" si="29"/>
        <v>148716</v>
      </c>
      <c r="X39" s="1390">
        <f t="shared" si="29"/>
        <v>148716</v>
      </c>
      <c r="Y39" s="1390">
        <f t="shared" si="29"/>
        <v>148716</v>
      </c>
      <c r="Z39" s="1390">
        <f t="shared" si="29"/>
        <v>148716</v>
      </c>
      <c r="AA39" s="1390">
        <f t="shared" si="29"/>
        <v>148716</v>
      </c>
      <c r="AB39" s="1390">
        <f t="shared" si="29"/>
        <v>148716</v>
      </c>
      <c r="AC39" s="1390">
        <f t="shared" si="29"/>
        <v>148716</v>
      </c>
      <c r="AD39" s="1391">
        <f t="shared" si="28"/>
        <v>1784592</v>
      </c>
      <c r="AE39" s="1389">
        <f>+AE38+AE37</f>
        <v>1377000</v>
      </c>
      <c r="AF39" s="1390">
        <f>+AD39</f>
        <v>1784592</v>
      </c>
      <c r="AG39" s="1390">
        <f t="shared" ref="AG39:AN39" si="30">+AG38+AG37</f>
        <v>1868572.8000000003</v>
      </c>
      <c r="AH39" s="1390">
        <f t="shared" si="30"/>
        <v>1959272.0640000002</v>
      </c>
      <c r="AI39" s="1390">
        <f t="shared" si="30"/>
        <v>2057227.2691200003</v>
      </c>
      <c r="AJ39" s="1390">
        <f t="shared" si="30"/>
        <v>2141860.5663436805</v>
      </c>
      <c r="AK39" s="1390">
        <f t="shared" si="30"/>
        <v>2231910.3945896761</v>
      </c>
      <c r="AL39" s="1390">
        <f t="shared" si="30"/>
        <v>2327723.4118434153</v>
      </c>
      <c r="AM39" s="1390">
        <f t="shared" si="30"/>
        <v>2429668.4622013941</v>
      </c>
      <c r="AN39" s="1391">
        <f t="shared" si="30"/>
        <v>2538137.9957822836</v>
      </c>
    </row>
    <row r="40" spans="1:40" ht="13.5" thickBot="1" x14ac:dyDescent="0.25">
      <c r="A40" s="377"/>
      <c r="B40" s="378"/>
      <c r="C40" s="378"/>
      <c r="D40" s="378"/>
      <c r="E40" s="378"/>
      <c r="F40" s="378"/>
      <c r="G40" s="378"/>
      <c r="H40" s="378"/>
      <c r="I40" s="378"/>
      <c r="J40" s="378"/>
      <c r="K40" s="378"/>
      <c r="L40" s="378"/>
      <c r="M40" s="378"/>
      <c r="N40" s="378"/>
      <c r="O40" s="378"/>
      <c r="P40" s="378"/>
      <c r="Q40" s="379"/>
      <c r="R40" s="1392"/>
      <c r="S40" s="1393"/>
      <c r="T40" s="1393"/>
      <c r="U40" s="1393"/>
      <c r="V40" s="1393"/>
      <c r="W40" s="1393"/>
      <c r="X40" s="1393"/>
      <c r="Y40" s="1393"/>
      <c r="Z40" s="1393"/>
      <c r="AA40" s="1393"/>
      <c r="AB40" s="1393"/>
      <c r="AC40" s="1393"/>
      <c r="AD40" s="1394"/>
      <c r="AE40" s="1392"/>
      <c r="AF40" s="1393"/>
      <c r="AG40" s="1393"/>
      <c r="AH40" s="1393"/>
      <c r="AI40" s="1393"/>
      <c r="AJ40" s="1393"/>
      <c r="AK40" s="1393"/>
      <c r="AL40" s="1393"/>
      <c r="AM40" s="1393"/>
      <c r="AN40" s="1394"/>
    </row>
    <row r="41" spans="1:40" ht="13.5" thickBot="1" x14ac:dyDescent="0.25">
      <c r="A41" s="1834" t="s">
        <v>304</v>
      </c>
      <c r="B41" s="1835"/>
      <c r="C41" s="380"/>
      <c r="D41" s="381"/>
      <c r="E41" s="382">
        <f t="shared" ref="E41:AN41" si="31">+E23+E24+E25+E39</f>
        <v>0</v>
      </c>
      <c r="F41" s="383">
        <f t="shared" si="31"/>
        <v>0</v>
      </c>
      <c r="G41" s="383">
        <f t="shared" si="31"/>
        <v>222886</v>
      </c>
      <c r="H41" s="383">
        <f t="shared" si="31"/>
        <v>183971</v>
      </c>
      <c r="I41" s="383">
        <f t="shared" si="31"/>
        <v>209415</v>
      </c>
      <c r="J41" s="383">
        <f t="shared" si="31"/>
        <v>220047</v>
      </c>
      <c r="K41" s="383">
        <f t="shared" si="31"/>
        <v>215174.35</v>
      </c>
      <c r="L41" s="383">
        <f t="shared" si="31"/>
        <v>197483.3</v>
      </c>
      <c r="M41" s="383">
        <f t="shared" si="31"/>
        <v>212333.5</v>
      </c>
      <c r="N41" s="383">
        <f t="shared" si="31"/>
        <v>228141.6</v>
      </c>
      <c r="O41" s="383">
        <f t="shared" si="31"/>
        <v>199700.5</v>
      </c>
      <c r="P41" s="383">
        <f t="shared" si="31"/>
        <v>227184.9</v>
      </c>
      <c r="Q41" s="384">
        <f t="shared" si="31"/>
        <v>2116337.15</v>
      </c>
      <c r="R41" s="1395">
        <f t="shared" si="31"/>
        <v>197407.19666666666</v>
      </c>
      <c r="S41" s="1396">
        <f t="shared" si="31"/>
        <v>201631.16666666669</v>
      </c>
      <c r="T41" s="1396">
        <f t="shared" si="31"/>
        <v>268962.89916666667</v>
      </c>
      <c r="U41" s="1396">
        <f t="shared" si="31"/>
        <v>207216.05166666667</v>
      </c>
      <c r="V41" s="1396">
        <f t="shared" si="31"/>
        <v>237390.02666666667</v>
      </c>
      <c r="W41" s="1396">
        <f t="shared" si="31"/>
        <v>208370.56666666668</v>
      </c>
      <c r="X41" s="1396">
        <f t="shared" si="31"/>
        <v>213781.13166666665</v>
      </c>
      <c r="Y41" s="1396">
        <f t="shared" si="31"/>
        <v>210895.69666666666</v>
      </c>
      <c r="Z41" s="1396">
        <f t="shared" si="31"/>
        <v>226662.39666666667</v>
      </c>
      <c r="AA41" s="1396">
        <f t="shared" si="31"/>
        <v>243591.02666666667</v>
      </c>
      <c r="AB41" s="1396">
        <f t="shared" si="31"/>
        <v>213526.29666666666</v>
      </c>
      <c r="AC41" s="1396">
        <f t="shared" si="31"/>
        <v>242774.45666666667</v>
      </c>
      <c r="AD41" s="1397">
        <f t="shared" si="31"/>
        <v>2672208.9125000001</v>
      </c>
      <c r="AE41" s="1395">
        <f t="shared" si="31"/>
        <v>2116337.15</v>
      </c>
      <c r="AF41" s="1396">
        <f t="shared" si="31"/>
        <v>2672208.9125000001</v>
      </c>
      <c r="AG41" s="1396">
        <f t="shared" si="31"/>
        <v>2806888.7272500005</v>
      </c>
      <c r="AH41" s="1396">
        <f t="shared" si="31"/>
        <v>3022360.9468850004</v>
      </c>
      <c r="AI41" s="1396">
        <f t="shared" si="31"/>
        <v>3213135.4849781003</v>
      </c>
      <c r="AJ41" s="1396">
        <f t="shared" si="31"/>
        <v>3271407.5765629695</v>
      </c>
      <c r="AK41" s="1396">
        <f t="shared" si="31"/>
        <v>3471286.861299491</v>
      </c>
      <c r="AL41" s="1396">
        <f t="shared" si="31"/>
        <v>3620425.1489553014</v>
      </c>
      <c r="AM41" s="1396">
        <f t="shared" si="31"/>
        <v>3703701.4826946505</v>
      </c>
      <c r="AN41" s="1397">
        <f t="shared" si="31"/>
        <v>3935223.8012592169</v>
      </c>
    </row>
    <row r="42" spans="1:40" ht="13.5" thickBot="1" x14ac:dyDescent="0.25">
      <c r="A42" s="89"/>
      <c r="B42" s="89"/>
      <c r="C42" s="89"/>
      <c r="D42" s="89"/>
      <c r="E42" s="89"/>
      <c r="F42" s="89"/>
      <c r="G42" s="89"/>
      <c r="H42" s="89"/>
      <c r="I42" s="89"/>
      <c r="J42" s="89"/>
      <c r="K42" s="89"/>
      <c r="L42" s="89"/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  <c r="AA42" s="89"/>
      <c r="AB42" s="89"/>
      <c r="AC42" s="89"/>
      <c r="AD42" s="89"/>
      <c r="AE42" s="89"/>
      <c r="AF42" s="89"/>
      <c r="AG42" s="89"/>
      <c r="AH42" s="89"/>
      <c r="AI42" s="89"/>
      <c r="AJ42" s="89"/>
      <c r="AK42" s="89"/>
      <c r="AL42" s="89"/>
      <c r="AM42" s="89"/>
      <c r="AN42" s="89"/>
    </row>
    <row r="43" spans="1:40" ht="15.75" thickBot="1" x14ac:dyDescent="0.35">
      <c r="A43" s="89"/>
      <c r="B43" s="89">
        <f>SUM(B31:B36)</f>
        <v>7</v>
      </c>
      <c r="C43" s="89">
        <f t="shared" ref="C43:D43" si="32">SUM(C31:C36)</f>
        <v>61000.000099999997</v>
      </c>
      <c r="D43" s="89">
        <f t="shared" si="32"/>
        <v>61000.000099999997</v>
      </c>
      <c r="E43" s="89"/>
      <c r="F43" s="89"/>
      <c r="G43" s="89"/>
      <c r="H43" s="89"/>
      <c r="I43" s="89"/>
      <c r="J43" s="89"/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89"/>
      <c r="AB43" s="89"/>
      <c r="AC43" s="89"/>
      <c r="AD43" s="89"/>
      <c r="AE43" s="28"/>
      <c r="AF43" s="252">
        <f t="shared" ref="AF43:AN43" si="33">+AF23/AE23-1</f>
        <v>0.21687759984324062</v>
      </c>
      <c r="AG43" s="252">
        <f t="shared" si="33"/>
        <v>6.0000000000000053E-2</v>
      </c>
      <c r="AH43" s="252">
        <f t="shared" si="33"/>
        <v>6.0000000000000053E-2</v>
      </c>
      <c r="AI43" s="252">
        <f t="shared" si="33"/>
        <v>5.9999999999999831E-2</v>
      </c>
      <c r="AJ43" s="252">
        <f t="shared" si="33"/>
        <v>4.8000000000000265E-2</v>
      </c>
      <c r="AK43" s="252">
        <f t="shared" si="33"/>
        <v>4.8000000000000043E-2</v>
      </c>
      <c r="AL43" s="252">
        <f t="shared" si="33"/>
        <v>4.8000000000000043E-2</v>
      </c>
      <c r="AM43" s="252">
        <f t="shared" si="33"/>
        <v>4.7999999999999821E-2</v>
      </c>
      <c r="AN43" s="252">
        <f t="shared" si="33"/>
        <v>4.8000000000000265E-2</v>
      </c>
    </row>
    <row r="44" spans="1:40" ht="15.75" thickBot="1" x14ac:dyDescent="0.35">
      <c r="A44" s="89"/>
      <c r="B44" s="89"/>
      <c r="C44" s="89"/>
      <c r="D44" s="89"/>
      <c r="E44" s="249" t="str">
        <f>IF(E3&lt;'19 Resumen'!$M$3, "No inicia", "OK")</f>
        <v>No inicia</v>
      </c>
      <c r="F44" s="249" t="str">
        <f>IF(F3&lt;'19 Resumen'!$M$3, "No inicia", "OK")</f>
        <v>No inicia</v>
      </c>
      <c r="G44" s="249" t="str">
        <f>IF(G3&lt;'19 Resumen'!$M$3, "No inicia", "OK")</f>
        <v>OK</v>
      </c>
      <c r="H44" s="249" t="str">
        <f>IF(H3&lt;'19 Resumen'!$M$3, "No inicia", "OK")</f>
        <v>OK</v>
      </c>
      <c r="I44" s="249" t="str">
        <f>IF(I3&lt;'19 Resumen'!$M$3, "No inicia", "OK")</f>
        <v>OK</v>
      </c>
      <c r="J44" s="249" t="str">
        <f>IF(J3&lt;'19 Resumen'!$M$3, "No inicia", "OK")</f>
        <v>OK</v>
      </c>
      <c r="K44" s="249" t="str">
        <f>IF(K3&lt;'19 Resumen'!$M$3, "No inicia", "OK")</f>
        <v>OK</v>
      </c>
      <c r="L44" s="249" t="str">
        <f>IF(L3&lt;'19 Resumen'!$M$3, "No inicia", "OK")</f>
        <v>OK</v>
      </c>
      <c r="M44" s="249" t="str">
        <f>IF(M3&lt;'19 Resumen'!$M$3, "No inicia", "OK")</f>
        <v>OK</v>
      </c>
      <c r="N44" s="249" t="str">
        <f>IF(N3&lt;'19 Resumen'!$M$3, "No inicia", "OK")</f>
        <v>OK</v>
      </c>
      <c r="O44" s="249" t="str">
        <f>IF(O3&lt;'19 Resumen'!$M$3, "No inicia", "OK")</f>
        <v>OK</v>
      </c>
      <c r="P44" s="249" t="str">
        <f>IF(P3&lt;'19 Resumen'!$M$3, "No inicia", "OK")</f>
        <v>OK</v>
      </c>
      <c r="Q44" s="247"/>
      <c r="R44" s="249" t="str">
        <f>IF(R3&lt;'19 Resumen'!$M$3, "No inicia", "OK")</f>
        <v>OK</v>
      </c>
      <c r="S44" s="249" t="str">
        <f>IF(S3&lt;'19 Resumen'!$M$3, "No inicia", "OK")</f>
        <v>OK</v>
      </c>
      <c r="T44" s="249" t="str">
        <f>IF(T3&lt;'19 Resumen'!$M$3, "No inicia", "OK")</f>
        <v>OK</v>
      </c>
      <c r="U44" s="249" t="str">
        <f>IF(U3&lt;'19 Resumen'!$M$3, "No inicia", "OK")</f>
        <v>OK</v>
      </c>
      <c r="V44" s="249" t="str">
        <f>IF(V3&lt;'19 Resumen'!$M$3, "No inicia", "OK")</f>
        <v>OK</v>
      </c>
      <c r="W44" s="249" t="str">
        <f>IF(W3&lt;'19 Resumen'!$M$3, "No inicia", "OK")</f>
        <v>OK</v>
      </c>
      <c r="X44" s="249" t="str">
        <f>IF(X3&lt;'19 Resumen'!$M$3, "No inicia", "OK")</f>
        <v>OK</v>
      </c>
      <c r="Y44" s="249" t="str">
        <f>IF(Y3&lt;'19 Resumen'!$M$3, "No inicia", "OK")</f>
        <v>OK</v>
      </c>
      <c r="Z44" s="249" t="str">
        <f>IF(Z3&lt;'19 Resumen'!$M$3, "No inicia", "OK")</f>
        <v>OK</v>
      </c>
      <c r="AA44" s="249" t="str">
        <f>IF(AA3&lt;'19 Resumen'!$M$3, "No inicia", "OK")</f>
        <v>OK</v>
      </c>
      <c r="AB44" s="249" t="str">
        <f>IF(AB3&lt;'19 Resumen'!$M$3, "No inicia", "OK")</f>
        <v>OK</v>
      </c>
      <c r="AC44" s="249" t="str">
        <f>IF(AC3&lt;'19 Resumen'!$M$3, "No inicia", "OK")</f>
        <v>OK</v>
      </c>
      <c r="AD44" s="247"/>
      <c r="AE44" s="28"/>
      <c r="AF44" s="252">
        <f>+AF37/AE37-1</f>
        <v>0.29600000000000004</v>
      </c>
      <c r="AG44" s="252">
        <f>+AG37/AF37-1</f>
        <v>8.0000000000000293E-2</v>
      </c>
      <c r="AH44" s="252">
        <f t="shared" ref="AH44:AN44" si="34">+AH37/AG37-1</f>
        <v>7.9999999999999849E-2</v>
      </c>
      <c r="AI44" s="252">
        <f t="shared" si="34"/>
        <v>8.0000000000000071E-2</v>
      </c>
      <c r="AJ44" s="252">
        <f t="shared" si="34"/>
        <v>6.4000000000000057E-2</v>
      </c>
      <c r="AK44" s="252">
        <f t="shared" si="34"/>
        <v>6.4000000000000279E-2</v>
      </c>
      <c r="AL44" s="252">
        <f t="shared" si="34"/>
        <v>6.3999999999999835E-2</v>
      </c>
      <c r="AM44" s="252">
        <f t="shared" si="34"/>
        <v>6.4000000000000057E-2</v>
      </c>
      <c r="AN44" s="252">
        <f t="shared" si="34"/>
        <v>6.4000000000000057E-2</v>
      </c>
    </row>
    <row r="45" spans="1:40" x14ac:dyDescent="0.2">
      <c r="A45" s="89"/>
      <c r="B45" s="89"/>
      <c r="C45" s="89"/>
      <c r="D45" s="89"/>
      <c r="E45" s="193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  <c r="AD45" s="89"/>
      <c r="AE45" s="89"/>
      <c r="AF45" s="89"/>
      <c r="AG45" s="89"/>
      <c r="AH45" s="89"/>
      <c r="AI45" s="89"/>
      <c r="AJ45" s="89"/>
      <c r="AK45" s="89"/>
      <c r="AL45" s="89"/>
      <c r="AM45" s="89"/>
      <c r="AN45" s="89"/>
    </row>
    <row r="46" spans="1:40" x14ac:dyDescent="0.2">
      <c r="A46" s="89"/>
      <c r="B46" s="89"/>
      <c r="C46" s="89"/>
      <c r="D46" s="89"/>
      <c r="E46" s="193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89"/>
      <c r="AC46" s="89"/>
      <c r="AD46" s="89"/>
      <c r="AE46" s="89"/>
      <c r="AF46" s="89"/>
      <c r="AG46" s="89"/>
      <c r="AH46" s="89"/>
      <c r="AI46" s="89"/>
      <c r="AJ46" s="89"/>
      <c r="AK46" s="89"/>
      <c r="AL46" s="89"/>
      <c r="AM46" s="89"/>
      <c r="AN46" s="89"/>
    </row>
    <row r="47" spans="1:40" x14ac:dyDescent="0.2">
      <c r="A47" s="89"/>
      <c r="B47" s="89"/>
      <c r="C47" s="89"/>
      <c r="D47" s="89"/>
      <c r="E47" s="89">
        <f t="shared" ref="E47:P47" si="35">+E3</f>
        <v>1</v>
      </c>
      <c r="F47" s="89">
        <f t="shared" si="35"/>
        <v>2</v>
      </c>
      <c r="G47" s="89">
        <f t="shared" si="35"/>
        <v>3</v>
      </c>
      <c r="H47" s="89">
        <f t="shared" si="35"/>
        <v>4</v>
      </c>
      <c r="I47" s="89">
        <f t="shared" si="35"/>
        <v>5</v>
      </c>
      <c r="J47" s="89">
        <f t="shared" si="35"/>
        <v>6</v>
      </c>
      <c r="K47" s="89">
        <f t="shared" si="35"/>
        <v>7</v>
      </c>
      <c r="L47" s="89">
        <f t="shared" si="35"/>
        <v>8</v>
      </c>
      <c r="M47" s="89">
        <f t="shared" si="35"/>
        <v>9</v>
      </c>
      <c r="N47" s="89">
        <f t="shared" si="35"/>
        <v>10</v>
      </c>
      <c r="O47" s="89">
        <f t="shared" si="35"/>
        <v>11</v>
      </c>
      <c r="P47" s="89">
        <f t="shared" si="35"/>
        <v>12</v>
      </c>
      <c r="Q47" s="89"/>
      <c r="R47" s="89">
        <f t="shared" ref="R47:AC47" si="36">+R3</f>
        <v>13</v>
      </c>
      <c r="S47" s="89">
        <f t="shared" si="36"/>
        <v>14</v>
      </c>
      <c r="T47" s="89">
        <f t="shared" si="36"/>
        <v>15</v>
      </c>
      <c r="U47" s="89">
        <f t="shared" si="36"/>
        <v>16</v>
      </c>
      <c r="V47" s="89">
        <f t="shared" si="36"/>
        <v>17</v>
      </c>
      <c r="W47" s="89">
        <f t="shared" si="36"/>
        <v>18</v>
      </c>
      <c r="X47" s="89">
        <f t="shared" si="36"/>
        <v>19</v>
      </c>
      <c r="Y47" s="89">
        <f t="shared" si="36"/>
        <v>20</v>
      </c>
      <c r="Z47" s="89">
        <f t="shared" si="36"/>
        <v>21</v>
      </c>
      <c r="AA47" s="89">
        <f t="shared" si="36"/>
        <v>22</v>
      </c>
      <c r="AB47" s="89">
        <f t="shared" si="36"/>
        <v>23</v>
      </c>
      <c r="AC47" s="89">
        <f t="shared" si="36"/>
        <v>24</v>
      </c>
      <c r="AD47" s="89"/>
      <c r="AE47" s="89"/>
      <c r="AF47" s="89"/>
      <c r="AG47" s="89"/>
      <c r="AH47" s="89"/>
      <c r="AI47" s="89"/>
      <c r="AJ47" s="89"/>
      <c r="AK47" s="89"/>
      <c r="AL47" s="89"/>
      <c r="AM47" s="89"/>
      <c r="AN47" s="89"/>
    </row>
    <row r="48" spans="1:40" x14ac:dyDescent="0.2">
      <c r="A48" s="89"/>
      <c r="B48" s="89"/>
      <c r="C48" s="89"/>
      <c r="D48" s="89"/>
      <c r="E48" s="89">
        <f>+'19 Resumen'!$M$3</f>
        <v>3</v>
      </c>
      <c r="F48" s="89">
        <f>+'19 Resumen'!$M$3</f>
        <v>3</v>
      </c>
      <c r="G48" s="89">
        <f>+'19 Resumen'!$M$3</f>
        <v>3</v>
      </c>
      <c r="H48" s="89">
        <f>+'19 Resumen'!$M$3</f>
        <v>3</v>
      </c>
      <c r="I48" s="89">
        <f>+'19 Resumen'!$M$3</f>
        <v>3</v>
      </c>
      <c r="J48" s="89">
        <f>+'19 Resumen'!$M$3</f>
        <v>3</v>
      </c>
      <c r="K48" s="89">
        <f>+'19 Resumen'!$M$3</f>
        <v>3</v>
      </c>
      <c r="L48" s="89">
        <f>+'19 Resumen'!$M$3</f>
        <v>3</v>
      </c>
      <c r="M48" s="89">
        <f>+'19 Resumen'!$M$3</f>
        <v>3</v>
      </c>
      <c r="N48" s="89">
        <f>+'19 Resumen'!$M$3</f>
        <v>3</v>
      </c>
      <c r="O48" s="89">
        <f>+'19 Resumen'!$M$3</f>
        <v>3</v>
      </c>
      <c r="P48" s="89">
        <f>+'19 Resumen'!$M$3</f>
        <v>3</v>
      </c>
      <c r="Q48" s="89"/>
      <c r="R48" s="89">
        <f>+'19 Resumen'!$M$3</f>
        <v>3</v>
      </c>
      <c r="S48" s="89">
        <f>+'19 Resumen'!$M$3</f>
        <v>3</v>
      </c>
      <c r="T48" s="89">
        <f>+'19 Resumen'!$M$3</f>
        <v>3</v>
      </c>
      <c r="U48" s="89">
        <f>+'19 Resumen'!$M$3</f>
        <v>3</v>
      </c>
      <c r="V48" s="89">
        <f>+'19 Resumen'!$M$3</f>
        <v>3</v>
      </c>
      <c r="W48" s="89">
        <f>+'19 Resumen'!$M$3</f>
        <v>3</v>
      </c>
      <c r="X48" s="89">
        <f>+'19 Resumen'!$M$3</f>
        <v>3</v>
      </c>
      <c r="Y48" s="89">
        <f>+'19 Resumen'!$M$3</f>
        <v>3</v>
      </c>
      <c r="Z48" s="89">
        <f>+'19 Resumen'!$M$3</f>
        <v>3</v>
      </c>
      <c r="AA48" s="89">
        <f>+'19 Resumen'!$M$3</f>
        <v>3</v>
      </c>
      <c r="AB48" s="89">
        <f>+'19 Resumen'!$M$3</f>
        <v>3</v>
      </c>
      <c r="AC48" s="89">
        <f>+'19 Resumen'!$M$3</f>
        <v>3</v>
      </c>
      <c r="AD48" s="89"/>
      <c r="AE48" s="89"/>
      <c r="AF48" s="89"/>
      <c r="AG48" s="89"/>
      <c r="AH48" s="89"/>
      <c r="AI48" s="89"/>
      <c r="AJ48" s="89"/>
      <c r="AK48" s="89"/>
      <c r="AL48" s="89"/>
      <c r="AM48" s="89"/>
      <c r="AN48" s="89"/>
    </row>
    <row r="49" spans="1:40" x14ac:dyDescent="0.2">
      <c r="A49" s="89">
        <f>SUM(I7:P21)</f>
        <v>491640.14999999997</v>
      </c>
      <c r="B49" s="89"/>
      <c r="C49" s="89"/>
      <c r="D49" s="89"/>
      <c r="E49" s="89">
        <f t="shared" ref="E49:M49" si="37">IF(E48&gt;E47,0,1)</f>
        <v>0</v>
      </c>
      <c r="F49" s="89">
        <f t="shared" si="37"/>
        <v>0</v>
      </c>
      <c r="G49" s="89">
        <f t="shared" si="37"/>
        <v>1</v>
      </c>
      <c r="H49" s="89">
        <f t="shared" si="37"/>
        <v>1</v>
      </c>
      <c r="I49" s="89">
        <f t="shared" si="37"/>
        <v>1</v>
      </c>
      <c r="J49" s="89">
        <f t="shared" si="37"/>
        <v>1</v>
      </c>
      <c r="K49" s="89">
        <f t="shared" si="37"/>
        <v>1</v>
      </c>
      <c r="L49" s="89">
        <f t="shared" si="37"/>
        <v>1</v>
      </c>
      <c r="M49" s="89">
        <f t="shared" si="37"/>
        <v>1</v>
      </c>
      <c r="N49" s="89">
        <f>IF(N48&gt;N47,0,1)</f>
        <v>1</v>
      </c>
      <c r="O49" s="89">
        <f>IF(O48&gt;O47,0,1)</f>
        <v>1</v>
      </c>
      <c r="P49" s="89">
        <f>IF(P48&gt;P47,0,1)</f>
        <v>1</v>
      </c>
      <c r="Q49" s="89">
        <f>SUM(E49:P49)</f>
        <v>10</v>
      </c>
      <c r="R49" s="89">
        <f>IF(R48&gt;R47,0,1)</f>
        <v>1</v>
      </c>
      <c r="S49" s="89">
        <f t="shared" ref="S49:AC49" si="38">IF(S48&gt;S47,0,1)</f>
        <v>1</v>
      </c>
      <c r="T49" s="89">
        <f t="shared" si="38"/>
        <v>1</v>
      </c>
      <c r="U49" s="89">
        <f t="shared" si="38"/>
        <v>1</v>
      </c>
      <c r="V49" s="89">
        <f t="shared" si="38"/>
        <v>1</v>
      </c>
      <c r="W49" s="89">
        <f t="shared" si="38"/>
        <v>1</v>
      </c>
      <c r="X49" s="89">
        <f t="shared" si="38"/>
        <v>1</v>
      </c>
      <c r="Y49" s="89">
        <f t="shared" si="38"/>
        <v>1</v>
      </c>
      <c r="Z49" s="89">
        <f t="shared" si="38"/>
        <v>1</v>
      </c>
      <c r="AA49" s="89">
        <f t="shared" si="38"/>
        <v>1</v>
      </c>
      <c r="AB49" s="89">
        <f t="shared" si="38"/>
        <v>1</v>
      </c>
      <c r="AC49" s="89">
        <f t="shared" si="38"/>
        <v>1</v>
      </c>
      <c r="AD49" s="89">
        <f>SUM(R49:AC49)</f>
        <v>12</v>
      </c>
      <c r="AE49" s="89"/>
      <c r="AF49" s="89"/>
      <c r="AG49" s="89"/>
      <c r="AH49" s="89"/>
      <c r="AI49" s="89"/>
      <c r="AJ49" s="89"/>
      <c r="AK49" s="89"/>
      <c r="AL49" s="89"/>
      <c r="AM49" s="89"/>
      <c r="AN49" s="89"/>
    </row>
    <row r="50" spans="1:40" x14ac:dyDescent="0.2">
      <c r="A50" s="1">
        <f>+A49/8</f>
        <v>61455.018749999996</v>
      </c>
    </row>
    <row r="52" spans="1:40" x14ac:dyDescent="0.2">
      <c r="E52" s="1421">
        <f>E31/$D$31+E32/$D$32+E33/$D$33+E34/$D$34+E35/$D$35+E36/$D$36</f>
        <v>0</v>
      </c>
      <c r="F52" s="1421">
        <f t="shared" ref="F52" si="39">F31/$D$31+F32/$D$32+F33/$D$33+F34/$D$34+F35/$D$35+F36/$D$36</f>
        <v>0</v>
      </c>
      <c r="G52" s="1421">
        <f>G31/$D$31+G32/$D$32+G33/$D$33+G34/$D$34+G35/$D$35+G36/$D$36</f>
        <v>7</v>
      </c>
      <c r="H52" s="1421">
        <f t="shared" ref="H52:P52" si="40">H31/$D$31+H32/$D$32+H33/$D$33+H34/$D$34+H35/$D$35+H36/$D$36</f>
        <v>7</v>
      </c>
      <c r="I52" s="1421">
        <f t="shared" si="40"/>
        <v>7</v>
      </c>
      <c r="J52" s="1421">
        <f t="shared" si="40"/>
        <v>7</v>
      </c>
      <c r="K52" s="1421">
        <f t="shared" si="40"/>
        <v>7</v>
      </c>
      <c r="L52" s="1421">
        <f t="shared" si="40"/>
        <v>7</v>
      </c>
      <c r="M52" s="1421">
        <f t="shared" si="40"/>
        <v>7</v>
      </c>
      <c r="N52" s="1421">
        <f t="shared" si="40"/>
        <v>7</v>
      </c>
      <c r="O52" s="1421">
        <f t="shared" si="40"/>
        <v>7</v>
      </c>
      <c r="P52" s="1421">
        <f t="shared" si="40"/>
        <v>7</v>
      </c>
      <c r="R52" s="1421">
        <f t="shared" ref="R52:S52" si="41">R31/$D$31+R32/$D$32+R33/$D$33+R34/$D$34+R35/$D$35+R36/$D$36</f>
        <v>7.5600000000000005</v>
      </c>
      <c r="S52" s="1421">
        <f t="shared" si="41"/>
        <v>7.5600000000000005</v>
      </c>
      <c r="T52" s="1421">
        <f>T31/$D$31+T32/$D$32+T33/$D$33+T34/$D$34+T35/$D$35+T36/$D$36</f>
        <v>7.5600000000000005</v>
      </c>
      <c r="U52" s="1421">
        <f t="shared" ref="U52:AC52" si="42">U31/$D$31+U32/$D$32+U33/$D$33+U34/$D$34+U35/$D$35+U36/$D$36</f>
        <v>7.5600000000000005</v>
      </c>
      <c r="V52" s="1421">
        <f t="shared" si="42"/>
        <v>7.5600000000000005</v>
      </c>
      <c r="W52" s="1421">
        <f t="shared" si="42"/>
        <v>7.5600000000000005</v>
      </c>
      <c r="X52" s="1421">
        <f t="shared" si="42"/>
        <v>7.5600000000000005</v>
      </c>
      <c r="Y52" s="1421">
        <f t="shared" si="42"/>
        <v>7.5600000000000005</v>
      </c>
      <c r="Z52" s="1421">
        <f t="shared" si="42"/>
        <v>7.5600000000000005</v>
      </c>
      <c r="AA52" s="1421">
        <f t="shared" si="42"/>
        <v>7.5600000000000005</v>
      </c>
      <c r="AB52" s="1421">
        <f t="shared" si="42"/>
        <v>7.5600000000000005</v>
      </c>
      <c r="AC52" s="1421">
        <f t="shared" si="42"/>
        <v>7.5600000000000005</v>
      </c>
      <c r="AE52" s="1421">
        <f>(AE31/$D$31+AE32/$D$32+AE33/$D$33+AE34/$D$34+AE35/$D$35+AE36/$D$36)/Q53</f>
        <v>7</v>
      </c>
      <c r="AF52" s="1421">
        <f>(AF31/$D$31+AF32/$D$32+AF33/$D$33+AF34/$D$34+AF35/$D$35+AF36/$D$36)/AD53</f>
        <v>7.56</v>
      </c>
      <c r="AG52" s="1421">
        <f t="shared" ref="AG52:AN52" si="43">(AG31/$D$31+AG32/$D$32+AG33/$D$33+AG34/$D$34+AG35/$D$35+AG36/$D$36)/12</f>
        <v>8.1648000000000014</v>
      </c>
      <c r="AH52" s="1421">
        <f t="shared" si="43"/>
        <v>8.8179840000000027</v>
      </c>
      <c r="AI52" s="1421">
        <f t="shared" si="43"/>
        <v>9.5234227200000028</v>
      </c>
      <c r="AJ52" s="1421">
        <f t="shared" si="43"/>
        <v>10.132921774080003</v>
      </c>
      <c r="AK52" s="1421">
        <f t="shared" si="43"/>
        <v>10.781428767621124</v>
      </c>
      <c r="AL52" s="1421">
        <f t="shared" si="43"/>
        <v>11.471440208748875</v>
      </c>
      <c r="AM52" s="1421">
        <f t="shared" si="43"/>
        <v>12.205612382108805</v>
      </c>
      <c r="AN52" s="1421">
        <f t="shared" si="43"/>
        <v>12.98677157456377</v>
      </c>
    </row>
    <row r="53" spans="1:40" x14ac:dyDescent="0.2">
      <c r="E53" s="1">
        <f>IF(E37=0,0,1)</f>
        <v>0</v>
      </c>
      <c r="F53" s="1">
        <f t="shared" ref="F53:P53" si="44">IF(F37=0,0,1)</f>
        <v>0</v>
      </c>
      <c r="G53" s="1">
        <f t="shared" si="44"/>
        <v>1</v>
      </c>
      <c r="H53" s="1">
        <f t="shared" si="44"/>
        <v>1</v>
      </c>
      <c r="I53" s="1">
        <f t="shared" si="44"/>
        <v>1</v>
      </c>
      <c r="J53" s="1">
        <f t="shared" si="44"/>
        <v>1</v>
      </c>
      <c r="K53" s="1">
        <f t="shared" si="44"/>
        <v>1</v>
      </c>
      <c r="L53" s="1">
        <f t="shared" si="44"/>
        <v>1</v>
      </c>
      <c r="M53" s="1">
        <f t="shared" si="44"/>
        <v>1</v>
      </c>
      <c r="N53" s="1">
        <f t="shared" si="44"/>
        <v>1</v>
      </c>
      <c r="O53" s="1">
        <f t="shared" si="44"/>
        <v>1</v>
      </c>
      <c r="P53" s="1">
        <f t="shared" si="44"/>
        <v>1</v>
      </c>
      <c r="Q53" s="1">
        <f>SUM(E53:P53)</f>
        <v>10</v>
      </c>
      <c r="R53" s="1">
        <f>IF(R37=0,0,1)</f>
        <v>1</v>
      </c>
      <c r="S53" s="1">
        <f t="shared" ref="S53:AC53" si="45">IF(S37=0,0,1)</f>
        <v>1</v>
      </c>
      <c r="T53" s="1">
        <f t="shared" si="45"/>
        <v>1</v>
      </c>
      <c r="U53" s="1">
        <f t="shared" si="45"/>
        <v>1</v>
      </c>
      <c r="V53" s="1">
        <f t="shared" si="45"/>
        <v>1</v>
      </c>
      <c r="W53" s="1">
        <f t="shared" si="45"/>
        <v>1</v>
      </c>
      <c r="X53" s="1">
        <f t="shared" si="45"/>
        <v>1</v>
      </c>
      <c r="Y53" s="1">
        <f t="shared" si="45"/>
        <v>1</v>
      </c>
      <c r="Z53" s="1">
        <f t="shared" si="45"/>
        <v>1</v>
      </c>
      <c r="AA53" s="1">
        <f t="shared" si="45"/>
        <v>1</v>
      </c>
      <c r="AB53" s="1">
        <f t="shared" si="45"/>
        <v>1</v>
      </c>
      <c r="AC53" s="1">
        <f t="shared" si="45"/>
        <v>1</v>
      </c>
      <c r="AD53" s="1">
        <f>SUM(R53:AC53)</f>
        <v>12</v>
      </c>
    </row>
  </sheetData>
  <customSheetViews>
    <customSheetView guid="{8FC2DB0D-4D0A-11D3-9924-0080ADC9B26E}" scale="75" fitToPage="1" showRuler="0" topLeftCell="X1">
      <selection activeCell="AC54" sqref="AC54"/>
      <pageMargins left="0.98425196850393704" right="0.98425196850393704" top="0.98425196850393704" bottom="0.98425196850393704" header="0" footer="0"/>
      <printOptions horizontalCentered="1" verticalCentered="1"/>
      <pageSetup scale="57" orientation="landscape" blackAndWhite="1" horizontalDpi="300" verticalDpi="360" r:id="rId1"/>
      <headerFooter alignWithMargins="0">
        <oddFooter>&amp;L&amp;D&amp;R&amp;8Proyectos Especiales
SPDy GP</oddFooter>
      </headerFooter>
    </customSheetView>
  </customSheetViews>
  <mergeCells count="39">
    <mergeCell ref="A4:A6"/>
    <mergeCell ref="B4:B6"/>
    <mergeCell ref="D4:D6"/>
    <mergeCell ref="A28:A30"/>
    <mergeCell ref="B28:B30"/>
    <mergeCell ref="A41:B41"/>
    <mergeCell ref="A37:B37"/>
    <mergeCell ref="A38:B38"/>
    <mergeCell ref="A39:B39"/>
    <mergeCell ref="E29:P29"/>
    <mergeCell ref="D28:D30"/>
    <mergeCell ref="AE28:AN28"/>
    <mergeCell ref="C28:C30"/>
    <mergeCell ref="AE4:AN4"/>
    <mergeCell ref="E5:P5"/>
    <mergeCell ref="Q5:Q6"/>
    <mergeCell ref="R5:AC5"/>
    <mergeCell ref="AD5:AD6"/>
    <mergeCell ref="R4:AD4"/>
    <mergeCell ref="AD29:AD30"/>
    <mergeCell ref="E4:Q4"/>
    <mergeCell ref="R28:AD28"/>
    <mergeCell ref="R29:AC29"/>
    <mergeCell ref="E28:Q28"/>
    <mergeCell ref="Q29:Q30"/>
    <mergeCell ref="A1:D1"/>
    <mergeCell ref="A2:D2"/>
    <mergeCell ref="AI1:AK1"/>
    <mergeCell ref="AB1:AD1"/>
    <mergeCell ref="AL1:AN1"/>
    <mergeCell ref="AE2:AN2"/>
    <mergeCell ref="E1:K1"/>
    <mergeCell ref="E2:Q2"/>
    <mergeCell ref="R2:AD2"/>
    <mergeCell ref="AE1:AH1"/>
    <mergeCell ref="L1:N1"/>
    <mergeCell ref="O1:Q1"/>
    <mergeCell ref="R1:X1"/>
    <mergeCell ref="Y1:AA1"/>
  </mergeCells>
  <phoneticPr fontId="20" type="noConversion"/>
  <pageMargins left="0.39370078740157483" right="0.39370078740157483" top="0.78740157480314965" bottom="0.59055118110236227" header="0.39370078740157483" footer="0.39370078740157483"/>
  <pageSetup scale="44" fitToWidth="3" orientation="landscape" blackAndWhite="1" horizontalDpi="4294967293" verticalDpi="4294967293" r:id="rId2"/>
  <headerFooter alignWithMargins="0">
    <oddHeader>&amp;C&amp;"Arial,Negrita"&amp;7Estudio de Factibilidad para el establecimiento de un mercado de mariscos en Hermosillo, Sonora</oddHeader>
    <oddFooter>&amp;L&amp;"Arial,Normal"&amp;7&amp;F - Hoja: &amp;A&amp;C&amp;"Arial,Normal"&amp;7&amp;D&amp;R&amp;"Arial,Normal"&amp;7&amp;P de  &amp;N</oddFooter>
  </headerFooter>
  <colBreaks count="2" manualBreakCount="2">
    <brk id="17" max="48" man="1"/>
    <brk id="30" max="48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11">
    <tabColor rgb="FF00B050"/>
  </sheetPr>
  <dimension ref="A1:AM49"/>
  <sheetViews>
    <sheetView view="pageBreakPreview" zoomScale="64" zoomScaleNormal="70" zoomScaleSheetLayoutView="64" workbookViewId="0">
      <pane xSplit="3" ySplit="6" topLeftCell="D7" activePane="bottomRight" state="frozenSplit"/>
      <selection activeCell="K44" sqref="K44"/>
      <selection pane="topRight" activeCell="K44" sqref="K44"/>
      <selection pane="bottomLeft" activeCell="K44" sqref="K44"/>
      <selection pane="bottomRight" activeCell="B19" sqref="B19"/>
    </sheetView>
  </sheetViews>
  <sheetFormatPr baseColWidth="10" defaultColWidth="9" defaultRowHeight="12.75" x14ac:dyDescent="0.2"/>
  <cols>
    <col min="1" max="1" width="27.75" style="1" customWidth="1"/>
    <col min="2" max="3" width="10.875" style="1" customWidth="1"/>
    <col min="4" max="15" width="11.75" style="1" customWidth="1"/>
    <col min="16" max="16" width="12.25" style="1" customWidth="1"/>
    <col min="17" max="29" width="11.75" style="1" customWidth="1"/>
    <col min="30" max="39" width="15.25" style="1" customWidth="1"/>
    <col min="40" max="16384" width="9" style="1"/>
  </cols>
  <sheetData>
    <row r="1" spans="1:39" ht="21.6" customHeight="1" x14ac:dyDescent="0.2">
      <c r="A1" s="1864" t="s">
        <v>368</v>
      </c>
      <c r="B1" s="1865"/>
      <c r="C1" s="1866"/>
      <c r="D1" s="1642" t="str">
        <f>+'19 Resumen'!D4</f>
        <v>La Lasaña de Garfield</v>
      </c>
      <c r="E1" s="1643"/>
      <c r="F1" s="1643"/>
      <c r="G1" s="1643"/>
      <c r="H1" s="1643"/>
      <c r="I1" s="1643"/>
      <c r="J1" s="1643"/>
      <c r="K1" s="1643" t="str">
        <f>+'19 Resumen'!D5</f>
        <v>Martin Delgado</v>
      </c>
      <c r="L1" s="1643"/>
      <c r="M1" s="1643"/>
      <c r="N1" s="1857" t="str">
        <f>+'19 Resumen'!D6</f>
        <v>Grupo Delgado´s</v>
      </c>
      <c r="O1" s="1857"/>
      <c r="P1" s="1858"/>
      <c r="Q1" s="1642" t="str">
        <f>+D1</f>
        <v>La Lasaña de Garfield</v>
      </c>
      <c r="R1" s="1643"/>
      <c r="S1" s="1643"/>
      <c r="T1" s="1643"/>
      <c r="U1" s="1643"/>
      <c r="V1" s="1643"/>
      <c r="W1" s="1643"/>
      <c r="X1" s="1643" t="str">
        <f>+K1</f>
        <v>Martin Delgado</v>
      </c>
      <c r="Y1" s="1643"/>
      <c r="Z1" s="1643"/>
      <c r="AA1" s="1857" t="str">
        <f>+N1</f>
        <v>Grupo Delgado´s</v>
      </c>
      <c r="AB1" s="1857"/>
      <c r="AC1" s="1858"/>
      <c r="AD1" s="1623" t="str">
        <f>+Q1</f>
        <v>La Lasaña de Garfield</v>
      </c>
      <c r="AE1" s="1624"/>
      <c r="AF1" s="1624"/>
      <c r="AG1" s="1624"/>
      <c r="AH1" s="1624" t="str">
        <f>+X1</f>
        <v>Martin Delgado</v>
      </c>
      <c r="AI1" s="1624"/>
      <c r="AJ1" s="1624"/>
      <c r="AK1" s="1624" t="str">
        <f>+AA1</f>
        <v>Grupo Delgado´s</v>
      </c>
      <c r="AL1" s="1624"/>
      <c r="AM1" s="1633"/>
    </row>
    <row r="2" spans="1:39" ht="21.6" customHeight="1" thickBot="1" x14ac:dyDescent="0.25">
      <c r="A2" s="1867">
        <f>+'19 Resumen'!D2</f>
        <v>42747</v>
      </c>
      <c r="B2" s="1868"/>
      <c r="C2" s="1869"/>
      <c r="D2" s="1634" t="s">
        <v>137</v>
      </c>
      <c r="E2" s="1635"/>
      <c r="F2" s="1635"/>
      <c r="G2" s="1635"/>
      <c r="H2" s="1635"/>
      <c r="I2" s="1635"/>
      <c r="J2" s="1635"/>
      <c r="K2" s="1635"/>
      <c r="L2" s="1635"/>
      <c r="M2" s="1635"/>
      <c r="N2" s="1635"/>
      <c r="O2" s="1635"/>
      <c r="P2" s="1636"/>
      <c r="Q2" s="1634" t="str">
        <f>+D2</f>
        <v xml:space="preserve">Gastos de Operación </v>
      </c>
      <c r="R2" s="1635"/>
      <c r="S2" s="1635"/>
      <c r="T2" s="1635"/>
      <c r="U2" s="1635"/>
      <c r="V2" s="1635"/>
      <c r="W2" s="1635"/>
      <c r="X2" s="1635"/>
      <c r="Y2" s="1635"/>
      <c r="Z2" s="1635"/>
      <c r="AA2" s="1635"/>
      <c r="AB2" s="1635"/>
      <c r="AC2" s="1636"/>
      <c r="AD2" s="1637" t="str">
        <f>+Q2</f>
        <v xml:space="preserve">Gastos de Operación </v>
      </c>
      <c r="AE2" s="1638"/>
      <c r="AF2" s="1638"/>
      <c r="AG2" s="1638"/>
      <c r="AH2" s="1638"/>
      <c r="AI2" s="1638"/>
      <c r="AJ2" s="1638"/>
      <c r="AK2" s="1638"/>
      <c r="AL2" s="1638"/>
      <c r="AM2" s="1639"/>
    </row>
    <row r="3" spans="1:39" ht="21.6" hidden="1" customHeight="1" thickBot="1" x14ac:dyDescent="0.25">
      <c r="A3" s="194"/>
      <c r="B3" s="195"/>
      <c r="C3" s="77"/>
      <c r="D3" s="197">
        <v>1</v>
      </c>
      <c r="E3" s="198">
        <f t="shared" ref="E3:O3" si="0">+D3+1</f>
        <v>2</v>
      </c>
      <c r="F3" s="198">
        <f t="shared" si="0"/>
        <v>3</v>
      </c>
      <c r="G3" s="198">
        <f t="shared" si="0"/>
        <v>4</v>
      </c>
      <c r="H3" s="198">
        <f t="shared" si="0"/>
        <v>5</v>
      </c>
      <c r="I3" s="198">
        <f t="shared" si="0"/>
        <v>6</v>
      </c>
      <c r="J3" s="198">
        <f t="shared" si="0"/>
        <v>7</v>
      </c>
      <c r="K3" s="198">
        <f t="shared" si="0"/>
        <v>8</v>
      </c>
      <c r="L3" s="198">
        <f t="shared" si="0"/>
        <v>9</v>
      </c>
      <c r="M3" s="198">
        <f t="shared" si="0"/>
        <v>10</v>
      </c>
      <c r="N3" s="198">
        <f t="shared" si="0"/>
        <v>11</v>
      </c>
      <c r="O3" s="198">
        <f t="shared" si="0"/>
        <v>12</v>
      </c>
      <c r="P3" s="199"/>
      <c r="Q3" s="200">
        <f>+O3+1</f>
        <v>13</v>
      </c>
      <c r="R3" s="198">
        <f t="shared" ref="R3:AB3" si="1">+Q3+1</f>
        <v>14</v>
      </c>
      <c r="S3" s="198">
        <f t="shared" si="1"/>
        <v>15</v>
      </c>
      <c r="T3" s="198">
        <f t="shared" si="1"/>
        <v>16</v>
      </c>
      <c r="U3" s="198">
        <f t="shared" si="1"/>
        <v>17</v>
      </c>
      <c r="V3" s="198">
        <f t="shared" si="1"/>
        <v>18</v>
      </c>
      <c r="W3" s="198">
        <f t="shared" si="1"/>
        <v>19</v>
      </c>
      <c r="X3" s="198">
        <f t="shared" si="1"/>
        <v>20</v>
      </c>
      <c r="Y3" s="198">
        <f t="shared" si="1"/>
        <v>21</v>
      </c>
      <c r="Z3" s="198">
        <f t="shared" si="1"/>
        <v>22</v>
      </c>
      <c r="AA3" s="198">
        <f t="shared" si="1"/>
        <v>23</v>
      </c>
      <c r="AB3" s="198">
        <f t="shared" si="1"/>
        <v>24</v>
      </c>
      <c r="AC3" s="201"/>
      <c r="AD3" s="202"/>
      <c r="AE3" s="203"/>
      <c r="AF3" s="203"/>
      <c r="AG3" s="203"/>
      <c r="AH3" s="203"/>
      <c r="AI3" s="203"/>
      <c r="AJ3" s="203"/>
      <c r="AK3" s="203"/>
      <c r="AL3" s="203"/>
      <c r="AM3" s="201"/>
    </row>
    <row r="4" spans="1:39" ht="21.6" customHeight="1" thickBot="1" x14ac:dyDescent="0.25">
      <c r="A4" s="1859" t="s">
        <v>136</v>
      </c>
      <c r="B4" s="1847" t="s">
        <v>633</v>
      </c>
      <c r="C4" s="1849" t="s">
        <v>389</v>
      </c>
      <c r="D4" s="1627" t="s">
        <v>138</v>
      </c>
      <c r="E4" s="1628"/>
      <c r="F4" s="1628"/>
      <c r="G4" s="1628"/>
      <c r="H4" s="1628"/>
      <c r="I4" s="1628"/>
      <c r="J4" s="1628"/>
      <c r="K4" s="1628"/>
      <c r="L4" s="1628"/>
      <c r="M4" s="1628"/>
      <c r="N4" s="1628"/>
      <c r="O4" s="1628"/>
      <c r="P4" s="1629"/>
      <c r="Q4" s="1630" t="str">
        <f>+D4</f>
        <v>Gastos de Producción indirectos</v>
      </c>
      <c r="R4" s="1631"/>
      <c r="S4" s="1631"/>
      <c r="T4" s="1631"/>
      <c r="U4" s="1631"/>
      <c r="V4" s="1631"/>
      <c r="W4" s="1631"/>
      <c r="X4" s="1631"/>
      <c r="Y4" s="1631"/>
      <c r="Z4" s="1631"/>
      <c r="AA4" s="1631"/>
      <c r="AB4" s="1631"/>
      <c r="AC4" s="1632"/>
      <c r="AD4" s="1627" t="str">
        <f>+Q4</f>
        <v>Gastos de Producción indirectos</v>
      </c>
      <c r="AE4" s="1628"/>
      <c r="AF4" s="1628"/>
      <c r="AG4" s="1628"/>
      <c r="AH4" s="1628"/>
      <c r="AI4" s="1628"/>
      <c r="AJ4" s="1628"/>
      <c r="AK4" s="1628"/>
      <c r="AL4" s="1628"/>
      <c r="AM4" s="1629"/>
    </row>
    <row r="5" spans="1:39" ht="21.6" customHeight="1" x14ac:dyDescent="0.2">
      <c r="A5" s="1860"/>
      <c r="B5" s="1848"/>
      <c r="C5" s="1850"/>
      <c r="D5" s="1607">
        <f>+'13 Costo Personal d Operaciones'!E5</f>
        <v>2017</v>
      </c>
      <c r="E5" s="1608"/>
      <c r="F5" s="1608"/>
      <c r="G5" s="1608"/>
      <c r="H5" s="1608"/>
      <c r="I5" s="1608"/>
      <c r="J5" s="1608"/>
      <c r="K5" s="1608"/>
      <c r="L5" s="1608"/>
      <c r="M5" s="1608"/>
      <c r="N5" s="1608"/>
      <c r="O5" s="1608"/>
      <c r="P5" s="1451" t="s">
        <v>130</v>
      </c>
      <c r="Q5" s="1607">
        <f>+D5+1</f>
        <v>2018</v>
      </c>
      <c r="R5" s="1608"/>
      <c r="S5" s="1608"/>
      <c r="T5" s="1608"/>
      <c r="U5" s="1608"/>
      <c r="V5" s="1608"/>
      <c r="W5" s="1608"/>
      <c r="X5" s="1608"/>
      <c r="Y5" s="1608"/>
      <c r="Z5" s="1608"/>
      <c r="AA5" s="1608"/>
      <c r="AB5" s="1612"/>
      <c r="AC5" s="1443" t="s">
        <v>132</v>
      </c>
      <c r="AD5" s="204" t="s">
        <v>1</v>
      </c>
      <c r="AE5" s="205" t="s">
        <v>1</v>
      </c>
      <c r="AF5" s="205" t="s">
        <v>1</v>
      </c>
      <c r="AG5" s="205" t="s">
        <v>1</v>
      </c>
      <c r="AH5" s="205" t="s">
        <v>1</v>
      </c>
      <c r="AI5" s="205" t="s">
        <v>1</v>
      </c>
      <c r="AJ5" s="205" t="s">
        <v>1</v>
      </c>
      <c r="AK5" s="205" t="s">
        <v>1</v>
      </c>
      <c r="AL5" s="205" t="s">
        <v>1</v>
      </c>
      <c r="AM5" s="206" t="s">
        <v>1</v>
      </c>
    </row>
    <row r="6" spans="1:39" ht="21.6" customHeight="1" thickBot="1" x14ac:dyDescent="0.4">
      <c r="A6" s="1861"/>
      <c r="B6" s="1862"/>
      <c r="C6" s="1863"/>
      <c r="D6" s="207" t="s">
        <v>60</v>
      </c>
      <c r="E6" s="208" t="s">
        <v>61</v>
      </c>
      <c r="F6" s="208" t="s">
        <v>62</v>
      </c>
      <c r="G6" s="208" t="s">
        <v>63</v>
      </c>
      <c r="H6" s="208" t="s">
        <v>64</v>
      </c>
      <c r="I6" s="208" t="s">
        <v>65</v>
      </c>
      <c r="J6" s="208" t="s">
        <v>66</v>
      </c>
      <c r="K6" s="208" t="s">
        <v>67</v>
      </c>
      <c r="L6" s="208" t="s">
        <v>68</v>
      </c>
      <c r="M6" s="208" t="s">
        <v>69</v>
      </c>
      <c r="N6" s="208" t="s">
        <v>70</v>
      </c>
      <c r="O6" s="208" t="s">
        <v>71</v>
      </c>
      <c r="P6" s="1856"/>
      <c r="Q6" s="342" t="str">
        <f>+D6</f>
        <v>Ene</v>
      </c>
      <c r="R6" s="298" t="str">
        <f t="shared" ref="R6:AB6" si="2">+E6</f>
        <v>Feb</v>
      </c>
      <c r="S6" s="298" t="str">
        <f t="shared" si="2"/>
        <v>Mar</v>
      </c>
      <c r="T6" s="298" t="str">
        <f t="shared" si="2"/>
        <v>Abr</v>
      </c>
      <c r="U6" s="298" t="str">
        <f t="shared" si="2"/>
        <v>May</v>
      </c>
      <c r="V6" s="298" t="str">
        <f t="shared" si="2"/>
        <v>Jun</v>
      </c>
      <c r="W6" s="298" t="str">
        <f t="shared" si="2"/>
        <v>Jul</v>
      </c>
      <c r="X6" s="298" t="str">
        <f t="shared" si="2"/>
        <v>Ago</v>
      </c>
      <c r="Y6" s="298" t="str">
        <f t="shared" si="2"/>
        <v>Sep</v>
      </c>
      <c r="Z6" s="298" t="str">
        <f t="shared" si="2"/>
        <v>Oct</v>
      </c>
      <c r="AA6" s="298" t="str">
        <f t="shared" si="2"/>
        <v>Nov</v>
      </c>
      <c r="AB6" s="343" t="str">
        <f t="shared" si="2"/>
        <v>Dic</v>
      </c>
      <c r="AC6" s="1613"/>
      <c r="AD6" s="210">
        <f>+D5</f>
        <v>2017</v>
      </c>
      <c r="AE6" s="211">
        <f>+AD6+1</f>
        <v>2018</v>
      </c>
      <c r="AF6" s="211">
        <f t="shared" ref="AF6:AM6" si="3">+AE6+1</f>
        <v>2019</v>
      </c>
      <c r="AG6" s="211">
        <f t="shared" si="3"/>
        <v>2020</v>
      </c>
      <c r="AH6" s="211">
        <f t="shared" si="3"/>
        <v>2021</v>
      </c>
      <c r="AI6" s="211">
        <f t="shared" si="3"/>
        <v>2022</v>
      </c>
      <c r="AJ6" s="211">
        <f t="shared" si="3"/>
        <v>2023</v>
      </c>
      <c r="AK6" s="211">
        <f t="shared" si="3"/>
        <v>2024</v>
      </c>
      <c r="AL6" s="211">
        <f t="shared" si="3"/>
        <v>2025</v>
      </c>
      <c r="AM6" s="212">
        <f t="shared" si="3"/>
        <v>2026</v>
      </c>
    </row>
    <row r="7" spans="1:39" ht="15" customHeight="1" x14ac:dyDescent="0.2">
      <c r="A7" s="699" t="s">
        <v>269</v>
      </c>
      <c r="B7" s="700">
        <v>8000</v>
      </c>
      <c r="C7" s="995">
        <f>B7*'19 Resumen'!$L$9</f>
        <v>8000</v>
      </c>
      <c r="D7" s="1282">
        <f>IF(D$3&lt;'19 Resumen'!$M$4-2,0,+$C7*'17 Hoja de Trabajo'!B$9)</f>
        <v>0</v>
      </c>
      <c r="E7" s="1000">
        <f>IF(E$3&lt;'19 Resumen'!$M$4-2,0,+$C7*'17 Hoja de Trabajo'!C$9)</f>
        <v>0</v>
      </c>
      <c r="F7" s="1000">
        <f>IF(F$3&lt;'19 Resumen'!$M$4-2,0,+$C7*'17 Hoja de Trabajo'!D$9)</f>
        <v>0</v>
      </c>
      <c r="G7" s="1000">
        <f>IF(G$3&lt;'19 Resumen'!$M$4-2,0,+$C7*'17 Hoja de Trabajo'!E$9)</f>
        <v>5040</v>
      </c>
      <c r="H7" s="1000">
        <f>IF(H$3&lt;'19 Resumen'!$M$4-2,0,+$C7*'17 Hoja de Trabajo'!F$9)</f>
        <v>5440</v>
      </c>
      <c r="I7" s="1000">
        <f>IF(I$3&lt;'19 Resumen'!$M$4-2,0,+$C7*'17 Hoja de Trabajo'!G$9)</f>
        <v>10080</v>
      </c>
      <c r="J7" s="1000">
        <f>IF(J$3&lt;'19 Resumen'!$M$4-2,0,+$C7*'17 Hoja de Trabajo'!H$9)</f>
        <v>16880</v>
      </c>
      <c r="K7" s="1000">
        <f>IF(K$3&lt;'19 Resumen'!$M$4-2,0,+$C7*'17 Hoja de Trabajo'!I$9)</f>
        <v>18160</v>
      </c>
      <c r="L7" s="1000">
        <f>IF(L$3&lt;'19 Resumen'!$M$4-2,0,+$C7*'17 Hoja de Trabajo'!J$9)</f>
        <v>16160</v>
      </c>
      <c r="M7" s="1000">
        <f>IF(M$3&lt;'19 Resumen'!$M$4-2,0,+$C7*'17 Hoja de Trabajo'!K$9)</f>
        <v>11840</v>
      </c>
      <c r="N7" s="1000">
        <f>IF(N$3&lt;'19 Resumen'!$M$4-2,0,+$C7*'17 Hoja de Trabajo'!L$9)</f>
        <v>4240</v>
      </c>
      <c r="O7" s="1000">
        <f>IF(O$3&lt;'19 Resumen'!$M$4-2,0,+$C7*'17 Hoja de Trabajo'!M$9)</f>
        <v>1760</v>
      </c>
      <c r="P7" s="1181">
        <f>SUM(D7:O7)</f>
        <v>89600</v>
      </c>
      <c r="Q7" s="1287">
        <f>$C7*'17 Hoja de Trabajo'!B$9*(1+'19 Resumen'!$E$33)</f>
        <v>1865.6000000000001</v>
      </c>
      <c r="R7" s="713">
        <f>$C7*'17 Hoja de Trabajo'!C$9*(1+'19 Resumen'!$E$33)</f>
        <v>1950.4</v>
      </c>
      <c r="S7" s="713">
        <f>$C7*'17 Hoja de Trabajo'!D$9*(1+'19 Resumen'!$E$33)</f>
        <v>2968</v>
      </c>
      <c r="T7" s="713">
        <f>$C7*'17 Hoja de Trabajo'!E$9*(1+'19 Resumen'!$E$33)</f>
        <v>5342.4000000000005</v>
      </c>
      <c r="U7" s="713">
        <f>$C7*'17 Hoja de Trabajo'!F$9*(1+'19 Resumen'!$E$33)</f>
        <v>5766.4000000000005</v>
      </c>
      <c r="V7" s="713">
        <f>$C7*'17 Hoja de Trabajo'!G$9*(1+'19 Resumen'!$E$33)</f>
        <v>10684.800000000001</v>
      </c>
      <c r="W7" s="713">
        <f>$C7*'17 Hoja de Trabajo'!H$9*(1+'19 Resumen'!$E$33)</f>
        <v>17892.8</v>
      </c>
      <c r="X7" s="713">
        <f>$C7*'17 Hoja de Trabajo'!I$9*(1+'19 Resumen'!$E$33)</f>
        <v>19249.600000000002</v>
      </c>
      <c r="Y7" s="713">
        <f>$C7*'17 Hoja de Trabajo'!J$9*(1+'19 Resumen'!$E$33)</f>
        <v>17129.600000000002</v>
      </c>
      <c r="Z7" s="713">
        <f>$C7*'17 Hoja de Trabajo'!K$9*(1+'19 Resumen'!$E$33)</f>
        <v>12550.400000000001</v>
      </c>
      <c r="AA7" s="713">
        <f>$C7*'17 Hoja de Trabajo'!L$9*(1+'19 Resumen'!$E$33)</f>
        <v>4494.4000000000005</v>
      </c>
      <c r="AB7" s="713">
        <f>$C7*'17 Hoja de Trabajo'!M$9*(1+'19 Resumen'!$E$33)</f>
        <v>1865.6000000000001</v>
      </c>
      <c r="AC7" s="994">
        <f>SUM(Q7:AB7)</f>
        <v>101760.00000000003</v>
      </c>
      <c r="AD7" s="129">
        <f t="shared" ref="AD7:AD20" si="4">+P7</f>
        <v>89600</v>
      </c>
      <c r="AE7" s="131">
        <f t="shared" ref="AE7:AE20" si="5">+AC7</f>
        <v>101760.00000000003</v>
      </c>
      <c r="AF7" s="131">
        <f>+AE7*(1+'19 Resumen'!$F$33)</f>
        <v>107865.60000000003</v>
      </c>
      <c r="AG7" s="131">
        <f>+AF7*(1+'19 Resumen'!$G$33)</f>
        <v>114337.53600000004</v>
      </c>
      <c r="AH7" s="131">
        <f>+AG7*(1+'19 Resumen'!$H$33)</f>
        <v>121197.78816000004</v>
      </c>
      <c r="AI7" s="131">
        <f>+AH7*(1+'19 Resumen'!$I$33)</f>
        <v>127015.28199168005</v>
      </c>
      <c r="AJ7" s="131">
        <f>+AI7*(1+'19 Resumen'!$I$33)</f>
        <v>133112.01552728069</v>
      </c>
      <c r="AK7" s="131">
        <f>+AJ7*(1+'19 Resumen'!$I$33)</f>
        <v>139501.39227259016</v>
      </c>
      <c r="AL7" s="131">
        <f>+AK7*(1+'19 Resumen'!$I$33)</f>
        <v>146197.4591016745</v>
      </c>
      <c r="AM7" s="132">
        <f>+AL7*(1+'19 Resumen'!$I$33)</f>
        <v>153214.93713855487</v>
      </c>
    </row>
    <row r="8" spans="1:39" ht="15" customHeight="1" x14ac:dyDescent="0.2">
      <c r="A8" s="302" t="s">
        <v>270</v>
      </c>
      <c r="B8" s="647">
        <v>900</v>
      </c>
      <c r="C8" s="996">
        <f>B8*'19 Resumen'!$L$9</f>
        <v>900</v>
      </c>
      <c r="D8" s="1283">
        <f>IF(D$3&lt;'19 Resumen'!$M$4-2,0,+$C8)</f>
        <v>0</v>
      </c>
      <c r="E8" s="624">
        <f>IF(E$3&lt;'19 Resumen'!$M$4-2,0,+$C8)</f>
        <v>0</v>
      </c>
      <c r="F8" s="624">
        <f>IF(F$3&lt;'19 Resumen'!$M$4-2,0,+$C8)</f>
        <v>0</v>
      </c>
      <c r="G8" s="624">
        <f>IF(G$3&lt;'19 Resumen'!$M$4-2,0,+$C8)</f>
        <v>900</v>
      </c>
      <c r="H8" s="624">
        <f>IF(H$3&lt;'19 Resumen'!$M$4-2,0,+$C8)</f>
        <v>900</v>
      </c>
      <c r="I8" s="624">
        <f>IF(I$3&lt;'19 Resumen'!$M$4-2,0,+$C8)</f>
        <v>900</v>
      </c>
      <c r="J8" s="624">
        <f>IF(J$3&lt;'19 Resumen'!$M$4-2,0,+$C8)</f>
        <v>900</v>
      </c>
      <c r="K8" s="624">
        <f>IF(K$3&lt;'19 Resumen'!$M$4-2,0,+$C8)</f>
        <v>900</v>
      </c>
      <c r="L8" s="624">
        <f>IF(L$3&lt;'19 Resumen'!$M$4-2,0,+$C8)</f>
        <v>900</v>
      </c>
      <c r="M8" s="624">
        <f>IF(M$3&lt;'19 Resumen'!$M$4-2,0,+$C8)</f>
        <v>900</v>
      </c>
      <c r="N8" s="624">
        <f>IF(N$3&lt;'19 Resumen'!$M$4-2,0,+$C8)</f>
        <v>900</v>
      </c>
      <c r="O8" s="624">
        <f>IF(O$3&lt;'19 Resumen'!$M$4-2,0,+$C8)</f>
        <v>900</v>
      </c>
      <c r="P8" s="1182">
        <f>SUM(D8:O8)</f>
        <v>8100</v>
      </c>
      <c r="Q8" s="548">
        <f>$O8*(1+'19 Resumen'!$E$33)</f>
        <v>954</v>
      </c>
      <c r="R8" s="304">
        <f>$O8*(1+'19 Resumen'!$E$33)</f>
        <v>954</v>
      </c>
      <c r="S8" s="304">
        <f>$O8*(1+'19 Resumen'!$E$33)</f>
        <v>954</v>
      </c>
      <c r="T8" s="304">
        <f>$O8*(1+'19 Resumen'!$E$33)</f>
        <v>954</v>
      </c>
      <c r="U8" s="304">
        <f>H8*(1+'19 Resumen'!$E$33)</f>
        <v>954</v>
      </c>
      <c r="V8" s="304">
        <f>I8*(1+'19 Resumen'!$E$33)</f>
        <v>954</v>
      </c>
      <c r="W8" s="304">
        <f>J8*(1+'19 Resumen'!$E$33)</f>
        <v>954</v>
      </c>
      <c r="X8" s="304">
        <f>K8*(1+'19 Resumen'!$E$33)</f>
        <v>954</v>
      </c>
      <c r="Y8" s="304">
        <f>L8*(1+'19 Resumen'!$E$33)</f>
        <v>954</v>
      </c>
      <c r="Z8" s="304">
        <f>M8*(1+'19 Resumen'!$E$33)</f>
        <v>954</v>
      </c>
      <c r="AA8" s="304">
        <f>N8*(1+'19 Resumen'!$E$33)</f>
        <v>954</v>
      </c>
      <c r="AB8" s="304">
        <f>O8*(1+'19 Resumen'!$E$33)</f>
        <v>954</v>
      </c>
      <c r="AC8" s="336">
        <f t="shared" ref="AC8:AC20" si="6">SUM(Q8:AB8)</f>
        <v>11448</v>
      </c>
      <c r="AD8" s="114">
        <f t="shared" si="4"/>
        <v>8100</v>
      </c>
      <c r="AE8" s="97">
        <f t="shared" si="5"/>
        <v>11448</v>
      </c>
      <c r="AF8" s="97">
        <f>+AE8*(1+'19 Resumen'!$F$33)</f>
        <v>12134.880000000001</v>
      </c>
      <c r="AG8" s="97">
        <f>+AF8*(1+'19 Resumen'!$G$33)</f>
        <v>12862.972800000001</v>
      </c>
      <c r="AH8" s="97">
        <f>+AG8*(1+'19 Resumen'!$H$33)</f>
        <v>13634.751168000003</v>
      </c>
      <c r="AI8" s="97">
        <f>+AH8*(1+'19 Resumen'!$I$33)</f>
        <v>14289.219224064003</v>
      </c>
      <c r="AJ8" s="97">
        <f>+AI8*(1+'19 Resumen'!$I$33)</f>
        <v>14975.101746819077</v>
      </c>
      <c r="AK8" s="97">
        <f>+AJ8*(1+'19 Resumen'!$I$33)</f>
        <v>15693.906630666394</v>
      </c>
      <c r="AL8" s="97">
        <f>+AK8*(1+'19 Resumen'!$I$33)</f>
        <v>16447.214148938379</v>
      </c>
      <c r="AM8" s="98">
        <f>+AL8*(1+'19 Resumen'!$I$33)</f>
        <v>17236.680428087424</v>
      </c>
    </row>
    <row r="9" spans="1:39" ht="15" customHeight="1" x14ac:dyDescent="0.2">
      <c r="A9" s="302" t="s">
        <v>369</v>
      </c>
      <c r="B9" s="701">
        <v>0</v>
      </c>
      <c r="C9" s="996">
        <f>B9*'19 Resumen'!$L$9</f>
        <v>0</v>
      </c>
      <c r="D9" s="1283">
        <f>IF(D$3&lt;'19 Resumen'!$M$4-2,0,+$C9)</f>
        <v>0</v>
      </c>
      <c r="E9" s="624">
        <f>IF(E$3&lt;'19 Resumen'!$M$4-2,0,+$C9)</f>
        <v>0</v>
      </c>
      <c r="F9" s="624">
        <f>IF(F$3&lt;'19 Resumen'!$M$4-2,0,+$C9)</f>
        <v>0</v>
      </c>
      <c r="G9" s="624">
        <f>IF(G$3&lt;'19 Resumen'!$M$4-2,0,+$C9)</f>
        <v>0</v>
      </c>
      <c r="H9" s="624">
        <f>IF(H$3&lt;'19 Resumen'!$M$4-2,0,+$C9)</f>
        <v>0</v>
      </c>
      <c r="I9" s="624">
        <f>IF(I$3&lt;'19 Resumen'!$M$4-2,0,+$C9)</f>
        <v>0</v>
      </c>
      <c r="J9" s="624">
        <f>IF(J$3&lt;'19 Resumen'!$M$4-2,0,+$C9)</f>
        <v>0</v>
      </c>
      <c r="K9" s="624">
        <f>IF(K$3&lt;'19 Resumen'!$M$4-2,0,+$C9)</f>
        <v>0</v>
      </c>
      <c r="L9" s="624">
        <f>IF(L$3&lt;'19 Resumen'!$M$4-2,0,+$C9)</f>
        <v>0</v>
      </c>
      <c r="M9" s="624">
        <f>IF(M$3&lt;'19 Resumen'!$M$4-2,0,+$C9)</f>
        <v>0</v>
      </c>
      <c r="N9" s="624">
        <f>IF(N$3&lt;'19 Resumen'!$M$4-2,0,+$C9)</f>
        <v>0</v>
      </c>
      <c r="O9" s="624">
        <f>IF(O$3&lt;'19 Resumen'!$M$4-2,0,+$C9)</f>
        <v>0</v>
      </c>
      <c r="P9" s="1182">
        <f t="shared" ref="P9:P20" si="7">SUM(D9:O9)</f>
        <v>0</v>
      </c>
      <c r="Q9" s="548">
        <f>$O9*(1+'19 Resumen'!$E$33)</f>
        <v>0</v>
      </c>
      <c r="R9" s="304">
        <f>$O9*(1+'19 Resumen'!$E$33)</f>
        <v>0</v>
      </c>
      <c r="S9" s="304">
        <f>$O9*(1+'19 Resumen'!$E$33)</f>
        <v>0</v>
      </c>
      <c r="T9" s="304">
        <f>$O9*(1+'19 Resumen'!$E$33)</f>
        <v>0</v>
      </c>
      <c r="U9" s="714">
        <f>H9*(1+'19 Resumen'!$E$33)</f>
        <v>0</v>
      </c>
      <c r="V9" s="714">
        <f>I9*(1+'19 Resumen'!$E$33)</f>
        <v>0</v>
      </c>
      <c r="W9" s="714">
        <f>J9*(1+'19 Resumen'!$E$33)</f>
        <v>0</v>
      </c>
      <c r="X9" s="714">
        <f>K9*(1+'19 Resumen'!$E$33)</f>
        <v>0</v>
      </c>
      <c r="Y9" s="714">
        <f>L9*(1+'19 Resumen'!$E$33)</f>
        <v>0</v>
      </c>
      <c r="Z9" s="714">
        <f>M9*(1+'19 Resumen'!$E$33)</f>
        <v>0</v>
      </c>
      <c r="AA9" s="714">
        <f>N9*(1+'19 Resumen'!$E$33)</f>
        <v>0</v>
      </c>
      <c r="AB9" s="714">
        <f>O9*(1+'19 Resumen'!$E$33)</f>
        <v>0</v>
      </c>
      <c r="AC9" s="336">
        <f t="shared" si="6"/>
        <v>0</v>
      </c>
      <c r="AD9" s="114">
        <f t="shared" si="4"/>
        <v>0</v>
      </c>
      <c r="AE9" s="97">
        <f t="shared" si="5"/>
        <v>0</v>
      </c>
      <c r="AF9" s="97">
        <f>+AE9*(1+'19 Resumen'!$F$33)</f>
        <v>0</v>
      </c>
      <c r="AG9" s="97">
        <f>+AF9*(1+'19 Resumen'!$G$33)</f>
        <v>0</v>
      </c>
      <c r="AH9" s="97">
        <f>+AG9*(1+'19 Resumen'!$H$33)</f>
        <v>0</v>
      </c>
      <c r="AI9" s="97">
        <f>+AH9*(1+'19 Resumen'!$I$33)</f>
        <v>0</v>
      </c>
      <c r="AJ9" s="97">
        <f>+AI9*(1+'19 Resumen'!$I$33)</f>
        <v>0</v>
      </c>
      <c r="AK9" s="97">
        <f>+AJ9*(1+'19 Resumen'!$I$33)</f>
        <v>0</v>
      </c>
      <c r="AL9" s="97">
        <f>+AK9*(1+'19 Resumen'!$I$33)</f>
        <v>0</v>
      </c>
      <c r="AM9" s="98">
        <f>+AL9*(1+'19 Resumen'!$I$33)</f>
        <v>0</v>
      </c>
    </row>
    <row r="10" spans="1:39" ht="15" customHeight="1" x14ac:dyDescent="0.2">
      <c r="A10" s="302" t="s">
        <v>271</v>
      </c>
      <c r="B10" s="647">
        <v>4500</v>
      </c>
      <c r="C10" s="996">
        <f>B10*'19 Resumen'!$L$9</f>
        <v>4500</v>
      </c>
      <c r="D10" s="1284">
        <f>IF(D$3&lt;'19 Resumen'!$M$4-1,0,ROUND('17 Hoja de Trabajo'!B$10*'11 Gastos de Operación'!$C10,0))</f>
        <v>0</v>
      </c>
      <c r="E10" s="1281">
        <f>IF(E$3&lt;'19 Resumen'!$M$4-1,0,ROUND('17 Hoja de Trabajo'!C$10*'11 Gastos de Operación'!$C10,0))</f>
        <v>0</v>
      </c>
      <c r="F10" s="1281">
        <f>IF(F$3&lt;'19 Resumen'!$M$4-1,0,ROUND('17 Hoja de Trabajo'!D$10*'11 Gastos de Operación'!$C10,0))</f>
        <v>0</v>
      </c>
      <c r="G10" s="1281">
        <f>IF(G$3&lt;'19 Resumen'!$M$4-1,0,ROUND('17 Hoja de Trabajo'!E$10*'11 Gastos de Operación'!$C10,0))</f>
        <v>0</v>
      </c>
      <c r="H10" s="1281">
        <f>IF(H$3&lt;'19 Resumen'!$M$4-1,0,ROUND('17 Hoja de Trabajo'!F$10*'11 Gastos de Operación'!$C10,0))</f>
        <v>5400</v>
      </c>
      <c r="I10" s="1281">
        <f>IF(I$3&lt;'19 Resumen'!$M$4-1,0,ROUND('17 Hoja de Trabajo'!G$10*'11 Gastos de Operación'!$C10,0))</f>
        <v>3600</v>
      </c>
      <c r="J10" s="1281">
        <f>IF(J$3&lt;'19 Resumen'!$M$4-1,0,ROUND('17 Hoja de Trabajo'!H$10*'11 Gastos de Operación'!$C10,0))</f>
        <v>3150</v>
      </c>
      <c r="K10" s="1281">
        <f>IF(K$3&lt;'19 Resumen'!$M$4-1,0,ROUND('17 Hoja de Trabajo'!I$10*'11 Gastos de Operación'!$C10,0))</f>
        <v>2700</v>
      </c>
      <c r="L10" s="1281">
        <f>IF(L$3&lt;'19 Resumen'!$M$4-1,0,ROUND('17 Hoja de Trabajo'!J$10*'11 Gastos de Operación'!$C10,0))</f>
        <v>3150</v>
      </c>
      <c r="M10" s="1281">
        <f>IF(M$3&lt;'19 Resumen'!$M$4-1,0,ROUND('17 Hoja de Trabajo'!K$10*'11 Gastos de Operación'!$C10,0))</f>
        <v>5400</v>
      </c>
      <c r="N10" s="1281">
        <f>IF(N$3&lt;'19 Resumen'!$M$4-1,0,ROUND('17 Hoja de Trabajo'!L$10*'11 Gastos de Operación'!$C10,0))</f>
        <v>6750</v>
      </c>
      <c r="O10" s="1281">
        <f>IF(O$3&lt;'19 Resumen'!$M$4-1,0,ROUND('17 Hoja de Trabajo'!M$10*'11 Gastos de Operación'!$C10,0))</f>
        <v>8100</v>
      </c>
      <c r="P10" s="1182">
        <f t="shared" si="7"/>
        <v>38250</v>
      </c>
      <c r="Q10" s="548">
        <f>ROUND('17 Hoja de Trabajo'!B$10*'11 Gastos de Operación'!$C10,0)</f>
        <v>2700</v>
      </c>
      <c r="R10" s="304">
        <f>ROUND('17 Hoja de Trabajo'!C$10*'11 Gastos de Operación'!$C10,0)</f>
        <v>4500</v>
      </c>
      <c r="S10" s="304">
        <f>ROUND('17 Hoja de Trabajo'!D$10*'11 Gastos de Operación'!$C10,0)</f>
        <v>4275</v>
      </c>
      <c r="T10" s="304">
        <f>ROUND('17 Hoja de Trabajo'!E$10*'11 Gastos de Operación'!$C10,0)</f>
        <v>4275</v>
      </c>
      <c r="U10" s="1286">
        <f>ROUND('17 Hoja de Trabajo'!F$10*'11 Gastos de Operación'!$C10,0)</f>
        <v>5400</v>
      </c>
      <c r="V10" s="304">
        <f>ROUND('17 Hoja de Trabajo'!G$10*'11 Gastos de Operación'!$C10,0)</f>
        <v>3600</v>
      </c>
      <c r="W10" s="304">
        <f>ROUND('17 Hoja de Trabajo'!H$10*'11 Gastos de Operación'!$C10,0)</f>
        <v>3150</v>
      </c>
      <c r="X10" s="304">
        <f>ROUND('17 Hoja de Trabajo'!I$10*'11 Gastos de Operación'!$C10,0)</f>
        <v>2700</v>
      </c>
      <c r="Y10" s="304">
        <f>ROUND('17 Hoja de Trabajo'!J$10*'11 Gastos de Operación'!$C10,0)</f>
        <v>3150</v>
      </c>
      <c r="Z10" s="304">
        <f>ROUND('17 Hoja de Trabajo'!K$10*'11 Gastos de Operación'!$C10,0)</f>
        <v>5400</v>
      </c>
      <c r="AA10" s="304">
        <f>ROUND('17 Hoja de Trabajo'!L$10*'11 Gastos de Operación'!$C10,0)</f>
        <v>6750</v>
      </c>
      <c r="AB10" s="304">
        <f>ROUND('17 Hoja de Trabajo'!M$10*'11 Gastos de Operación'!$C10,0)</f>
        <v>8100</v>
      </c>
      <c r="AC10" s="336">
        <f t="shared" si="6"/>
        <v>54000</v>
      </c>
      <c r="AD10" s="114">
        <f t="shared" si="4"/>
        <v>38250</v>
      </c>
      <c r="AE10" s="97">
        <f t="shared" si="5"/>
        <v>54000</v>
      </c>
      <c r="AF10" s="97">
        <f>+AE10*(1+'19 Resumen'!$F$33)</f>
        <v>57240</v>
      </c>
      <c r="AG10" s="97">
        <f>+AF10*(1+'19 Resumen'!$G$33)</f>
        <v>60674.400000000001</v>
      </c>
      <c r="AH10" s="97">
        <f>+AG10*(1+'19 Resumen'!$H$33)</f>
        <v>64314.864000000001</v>
      </c>
      <c r="AI10" s="97">
        <f>+AH10*(1+'19 Resumen'!$I$33)</f>
        <v>67401.977471999999</v>
      </c>
      <c r="AJ10" s="97">
        <f>+AI10*(1+'19 Resumen'!$I$33)</f>
        <v>70637.272390655999</v>
      </c>
      <c r="AK10" s="97">
        <f>+AJ10*(1+'19 Resumen'!$I$33)</f>
        <v>74027.861465407492</v>
      </c>
      <c r="AL10" s="97">
        <f>+AK10*(1+'19 Resumen'!$I$33)</f>
        <v>77581.198815747048</v>
      </c>
      <c r="AM10" s="98">
        <f>+AL10*(1+'19 Resumen'!$I$33)</f>
        <v>81305.096358902912</v>
      </c>
    </row>
    <row r="11" spans="1:39" ht="15" customHeight="1" x14ac:dyDescent="0.2">
      <c r="A11" s="302" t="s">
        <v>370</v>
      </c>
      <c r="B11" s="698">
        <v>1500</v>
      </c>
      <c r="C11" s="996">
        <f>B11*'19 Resumen'!$L$9</f>
        <v>1500</v>
      </c>
      <c r="D11" s="1283">
        <f>IF(D$3&lt;'19 Resumen'!$M$4-1,0,+$C11)</f>
        <v>0</v>
      </c>
      <c r="E11" s="624">
        <f>IF(E$3&lt;'19 Resumen'!$M$4-1,0,+$C11)</f>
        <v>0</v>
      </c>
      <c r="F11" s="624">
        <f>IF(F$3&lt;'19 Resumen'!$M$4-1,0,+$C11)</f>
        <v>0</v>
      </c>
      <c r="G11" s="624">
        <f>IF(G$3&lt;'19 Resumen'!$M$4-1,0,+$C11)</f>
        <v>0</v>
      </c>
      <c r="H11" s="624">
        <f>IF(H$3&lt;'19 Resumen'!$M$4-1,0,+$C11)+6000</f>
        <v>7500</v>
      </c>
      <c r="I11" s="624">
        <f>IF(I$3&lt;'19 Resumen'!$M$4-1,0,+$C11)</f>
        <v>1500</v>
      </c>
      <c r="J11" s="624">
        <f>IF(J$3&lt;'19 Resumen'!$M$4-1,0,+$C11)</f>
        <v>1500</v>
      </c>
      <c r="K11" s="624">
        <f>IF(K$3&lt;'19 Resumen'!$M$4-1,0,+$C11)</f>
        <v>1500</v>
      </c>
      <c r="L11" s="624">
        <f>IF(L$3&lt;'19 Resumen'!$M$4-1,0,+$C11)</f>
        <v>1500</v>
      </c>
      <c r="M11" s="624">
        <f>IF(M$3&lt;'19 Resumen'!$M$4-1,0,+$C11)</f>
        <v>1500</v>
      </c>
      <c r="N11" s="624">
        <f>IF(N$3&lt;'19 Resumen'!$M$4-1,0,+$C11)</f>
        <v>1500</v>
      </c>
      <c r="O11" s="624">
        <f>IF(O$3&lt;'19 Resumen'!$M$4-1,0,+$C11)</f>
        <v>1500</v>
      </c>
      <c r="P11" s="1182">
        <f t="shared" si="7"/>
        <v>18000</v>
      </c>
      <c r="Q11" s="548">
        <f>$O11*(1+'19 Resumen'!$E$33)</f>
        <v>1590</v>
      </c>
      <c r="R11" s="304">
        <f>$O11*(1+'19 Resumen'!$E$33)</f>
        <v>1590</v>
      </c>
      <c r="S11" s="304">
        <f>$O11*(1+'19 Resumen'!$E$33)</f>
        <v>1590</v>
      </c>
      <c r="T11" s="304">
        <f>$O11*(1+'19 Resumen'!$E$33)</f>
        <v>1590</v>
      </c>
      <c r="U11" s="714">
        <f>+T11</f>
        <v>1590</v>
      </c>
      <c r="V11" s="714">
        <f>I11*(1+'19 Resumen'!$E$33)</f>
        <v>1590</v>
      </c>
      <c r="W11" s="714">
        <f>J11*(1+'19 Resumen'!$E$33)</f>
        <v>1590</v>
      </c>
      <c r="X11" s="714">
        <f>K11*(1+'19 Resumen'!$E$33)</f>
        <v>1590</v>
      </c>
      <c r="Y11" s="714">
        <f>L11*(1+'19 Resumen'!$E$33)</f>
        <v>1590</v>
      </c>
      <c r="Z11" s="714">
        <f>M11*(1+'19 Resumen'!$E$33)</f>
        <v>1590</v>
      </c>
      <c r="AA11" s="714">
        <f>N11*(1+'19 Resumen'!$E$33)</f>
        <v>1590</v>
      </c>
      <c r="AB11" s="714">
        <f>O11*(1+'19 Resumen'!$E$33)</f>
        <v>1590</v>
      </c>
      <c r="AC11" s="336">
        <f t="shared" si="6"/>
        <v>19080</v>
      </c>
      <c r="AD11" s="114">
        <f t="shared" si="4"/>
        <v>18000</v>
      </c>
      <c r="AE11" s="97">
        <f t="shared" si="5"/>
        <v>19080</v>
      </c>
      <c r="AF11" s="97">
        <f>+AE11*(1+'19 Resumen'!$F$33)</f>
        <v>20224.8</v>
      </c>
      <c r="AG11" s="97">
        <f>+AF11*(1+'19 Resumen'!$G$33)</f>
        <v>21438.288</v>
      </c>
      <c r="AH11" s="97">
        <f>+AG11*(1+'19 Resumen'!$H$33)</f>
        <v>22724.585280000003</v>
      </c>
      <c r="AI11" s="97">
        <f>+AH11*(1+'19 Resumen'!$I$33)</f>
        <v>23815.365373440003</v>
      </c>
      <c r="AJ11" s="97">
        <f>+AI11*(1+'19 Resumen'!$I$33)</f>
        <v>24958.502911365125</v>
      </c>
      <c r="AK11" s="97">
        <f>+AJ11*(1+'19 Resumen'!$I$33)</f>
        <v>26156.511051110654</v>
      </c>
      <c r="AL11" s="97">
        <f>+AK11*(1+'19 Resumen'!$I$33)</f>
        <v>27412.023581563968</v>
      </c>
      <c r="AM11" s="98">
        <f>+AL11*(1+'19 Resumen'!$I$33)</f>
        <v>28727.800713479039</v>
      </c>
    </row>
    <row r="12" spans="1:39" ht="15" customHeight="1" x14ac:dyDescent="0.2">
      <c r="A12" s="302" t="s">
        <v>272</v>
      </c>
      <c r="B12" s="647">
        <v>6000</v>
      </c>
      <c r="C12" s="996">
        <f>B12*'19 Resumen'!$L$9</f>
        <v>6000</v>
      </c>
      <c r="D12" s="1283"/>
      <c r="E12" s="624"/>
      <c r="F12" s="624"/>
      <c r="G12" s="624">
        <f>+C12</f>
        <v>6000</v>
      </c>
      <c r="H12" s="624"/>
      <c r="I12" s="624"/>
      <c r="J12" s="624">
        <f>+C12</f>
        <v>6000</v>
      </c>
      <c r="K12" s="624"/>
      <c r="L12" s="624"/>
      <c r="M12" s="624">
        <f>+C12</f>
        <v>6000</v>
      </c>
      <c r="N12" s="624"/>
      <c r="O12" s="624"/>
      <c r="P12" s="1182">
        <f t="shared" si="7"/>
        <v>18000</v>
      </c>
      <c r="Q12" s="548">
        <f>D12*(1+'19 Resumen'!$E$33)</f>
        <v>0</v>
      </c>
      <c r="R12" s="304">
        <f>E12*(1+'19 Resumen'!$E$33)</f>
        <v>0</v>
      </c>
      <c r="S12" s="304">
        <f>F12*(1+'19 Resumen'!$E$33)</f>
        <v>0</v>
      </c>
      <c r="T12" s="304">
        <f>G12*(1+'19 Resumen'!$E$33)</f>
        <v>6360</v>
      </c>
      <c r="U12" s="304">
        <f>H12*(1+'19 Resumen'!$E$33)</f>
        <v>0</v>
      </c>
      <c r="V12" s="304">
        <f>I12*(1+'19 Resumen'!$E$33)</f>
        <v>0</v>
      </c>
      <c r="W12" s="304">
        <f>J12*(1+'19 Resumen'!$E$33)</f>
        <v>6360</v>
      </c>
      <c r="X12" s="304">
        <f>K12*(1+'19 Resumen'!$E$33)</f>
        <v>0</v>
      </c>
      <c r="Y12" s="304">
        <f>L12*(1+'19 Resumen'!$E$33)</f>
        <v>0</v>
      </c>
      <c r="Z12" s="304">
        <f>M12*(1+'19 Resumen'!$E$33)</f>
        <v>6360</v>
      </c>
      <c r="AA12" s="304">
        <f>N12*(1+'19 Resumen'!$E$33)</f>
        <v>0</v>
      </c>
      <c r="AB12" s="304">
        <f>O12*(1+'19 Resumen'!$E$33)</f>
        <v>0</v>
      </c>
      <c r="AC12" s="336">
        <f t="shared" si="6"/>
        <v>19080</v>
      </c>
      <c r="AD12" s="114">
        <f t="shared" si="4"/>
        <v>18000</v>
      </c>
      <c r="AE12" s="97">
        <f t="shared" si="5"/>
        <v>19080</v>
      </c>
      <c r="AF12" s="97">
        <f>+AE12*(1+'19 Resumen'!$F$33)</f>
        <v>20224.8</v>
      </c>
      <c r="AG12" s="97">
        <f>+AF12*(1+'19 Resumen'!$G$33)</f>
        <v>21438.288</v>
      </c>
      <c r="AH12" s="97">
        <f>+AG12*(1+'19 Resumen'!$H$33)</f>
        <v>22724.585280000003</v>
      </c>
      <c r="AI12" s="97">
        <f>+AH12*(1+'19 Resumen'!$I$33)</f>
        <v>23815.365373440003</v>
      </c>
      <c r="AJ12" s="97">
        <f>+AI12*(1+'19 Resumen'!$I$33)</f>
        <v>24958.502911365125</v>
      </c>
      <c r="AK12" s="97">
        <f>+AJ12*(1+'19 Resumen'!$I$33)</f>
        <v>26156.511051110654</v>
      </c>
      <c r="AL12" s="97">
        <f>+AK12*(1+'19 Resumen'!$I$33)</f>
        <v>27412.023581563968</v>
      </c>
      <c r="AM12" s="98">
        <f>+AL12*(1+'19 Resumen'!$I$33)</f>
        <v>28727.800713479039</v>
      </c>
    </row>
    <row r="13" spans="1:39" ht="15" customHeight="1" x14ac:dyDescent="0.2">
      <c r="A13" s="302" t="s">
        <v>273</v>
      </c>
      <c r="B13" s="647">
        <v>2000</v>
      </c>
      <c r="C13" s="996">
        <f>B13*'19 Resumen'!$L$9</f>
        <v>2000</v>
      </c>
      <c r="D13" s="1284">
        <f>IF(D$3&lt;'19 Resumen'!$M$4-1,0,ROUND('17 Hoja de Trabajo'!B$10*'11 Gastos de Operación'!$C13,0))</f>
        <v>0</v>
      </c>
      <c r="E13" s="1281">
        <f>IF(E$3&lt;'19 Resumen'!$M$4-1,0,ROUND('17 Hoja de Trabajo'!C$10*'11 Gastos de Operación'!$C13,0))</f>
        <v>0</v>
      </c>
      <c r="F13" s="1281">
        <f>IF(F$3&lt;'19 Resumen'!$M$4-1,0,ROUND('17 Hoja de Trabajo'!D$10*'11 Gastos de Operación'!$C13,0))</f>
        <v>0</v>
      </c>
      <c r="G13" s="1281">
        <f>IF(G$3&lt;'19 Resumen'!$M$4-1,0,ROUND('17 Hoja de Trabajo'!E$10*'11 Gastos de Operación'!$C13,0))</f>
        <v>0</v>
      </c>
      <c r="H13" s="1281">
        <f>IF(H$3&lt;'19 Resumen'!$M$4-1,0,ROUND('17 Hoja de Trabajo'!F$10*'11 Gastos de Operación'!$C13,0))</f>
        <v>2400</v>
      </c>
      <c r="I13" s="1281">
        <f>IF(I$3&lt;'19 Resumen'!$M$4-1,0,ROUND('17 Hoja de Trabajo'!G$10*'11 Gastos de Operación'!$C13,0))</f>
        <v>1600</v>
      </c>
      <c r="J13" s="1281">
        <f>IF(J$3&lt;'19 Resumen'!$M$4-1,0,ROUND('17 Hoja de Trabajo'!H$10*'11 Gastos de Operación'!$C13,0))</f>
        <v>1400</v>
      </c>
      <c r="K13" s="1281">
        <f>IF(K$3&lt;'19 Resumen'!$M$4-1,0,ROUND('17 Hoja de Trabajo'!I$10*'11 Gastos de Operación'!$C13,0))</f>
        <v>1200</v>
      </c>
      <c r="L13" s="1281">
        <f>IF(L$3&lt;'19 Resumen'!$M$4-1,0,ROUND('17 Hoja de Trabajo'!J$10*'11 Gastos de Operación'!$C13,0))</f>
        <v>1400</v>
      </c>
      <c r="M13" s="1281">
        <f>IF(M$3&lt;'19 Resumen'!$M$4-1,0,ROUND('17 Hoja de Trabajo'!K$10*'11 Gastos de Operación'!$C13,0))</f>
        <v>2400</v>
      </c>
      <c r="N13" s="1281">
        <f>IF(N$3&lt;'19 Resumen'!$M$4-1,0,ROUND('17 Hoja de Trabajo'!L$10*'11 Gastos de Operación'!$C13,0))</f>
        <v>3000</v>
      </c>
      <c r="O13" s="1281">
        <f>IF(O$3&lt;'19 Resumen'!$M$4-1,0,ROUND('17 Hoja de Trabajo'!M$10*'11 Gastos de Operación'!$C13,0))</f>
        <v>3600</v>
      </c>
      <c r="P13" s="1182">
        <f t="shared" si="7"/>
        <v>17000</v>
      </c>
      <c r="Q13" s="1288">
        <f>ROUND('17 Hoja de Trabajo'!B$10*$C13,0)</f>
        <v>1200</v>
      </c>
      <c r="R13" s="1286">
        <f>ROUND('17 Hoja de Trabajo'!C$10*$C13,0)</f>
        <v>2000</v>
      </c>
      <c r="S13" s="1286">
        <f>ROUND('17 Hoja de Trabajo'!D$10*$C13,0)</f>
        <v>1900</v>
      </c>
      <c r="T13" s="1286">
        <f>ROUND('17 Hoja de Trabajo'!E$10*$C13,0)</f>
        <v>1900</v>
      </c>
      <c r="U13" s="1286">
        <f>ROUND('17 Hoja de Trabajo'!F$10*$C13,0)</f>
        <v>2400</v>
      </c>
      <c r="V13" s="1286">
        <f>ROUND('17 Hoja de Trabajo'!G$10*$C13,0)</f>
        <v>1600</v>
      </c>
      <c r="W13" s="1286">
        <f>ROUND('17 Hoja de Trabajo'!H$10*$C13,0)</f>
        <v>1400</v>
      </c>
      <c r="X13" s="1286">
        <f>ROUND('17 Hoja de Trabajo'!I$10*$C13,0)</f>
        <v>1200</v>
      </c>
      <c r="Y13" s="1286">
        <f>ROUND('17 Hoja de Trabajo'!J$10*$C13,0)</f>
        <v>1400</v>
      </c>
      <c r="Z13" s="1286">
        <f>ROUND('17 Hoja de Trabajo'!K$10*$C13,0)</f>
        <v>2400</v>
      </c>
      <c r="AA13" s="1286">
        <f>ROUND('17 Hoja de Trabajo'!L$10*$C13,0)</f>
        <v>3000</v>
      </c>
      <c r="AB13" s="1286">
        <f>ROUND('17 Hoja de Trabajo'!M$10*$C13,0)</f>
        <v>3600</v>
      </c>
      <c r="AC13" s="336">
        <f t="shared" si="6"/>
        <v>24000</v>
      </c>
      <c r="AD13" s="114">
        <f t="shared" si="4"/>
        <v>17000</v>
      </c>
      <c r="AE13" s="97">
        <f t="shared" si="5"/>
        <v>24000</v>
      </c>
      <c r="AF13" s="97">
        <f>+AE13*(1+'19 Resumen'!$F$33)</f>
        <v>25440</v>
      </c>
      <c r="AG13" s="97">
        <f>+AF13*(1+'19 Resumen'!$G$33)</f>
        <v>26966.400000000001</v>
      </c>
      <c r="AH13" s="97">
        <f>+AG13*(1+'19 Resumen'!$H$33)</f>
        <v>28584.384000000002</v>
      </c>
      <c r="AI13" s="97">
        <f>+AH13*(1+'19 Resumen'!$I$33)</f>
        <v>29956.434432000002</v>
      </c>
      <c r="AJ13" s="97">
        <f>+AI13*(1+'19 Resumen'!$I$33)</f>
        <v>31394.343284736002</v>
      </c>
      <c r="AK13" s="97">
        <f>+AJ13*(1+'19 Resumen'!$I$33)</f>
        <v>32901.271762403332</v>
      </c>
      <c r="AL13" s="97">
        <f>+AK13*(1+'19 Resumen'!$I$33)</f>
        <v>34480.532806998694</v>
      </c>
      <c r="AM13" s="98">
        <f>+AL13*(1+'19 Resumen'!$I$33)</f>
        <v>36135.598381734635</v>
      </c>
    </row>
    <row r="14" spans="1:39" ht="15" customHeight="1" x14ac:dyDescent="0.2">
      <c r="A14" s="302" t="s">
        <v>411</v>
      </c>
      <c r="B14" s="698">
        <v>12500</v>
      </c>
      <c r="C14" s="996">
        <f>B14*'19 Resumen'!$L$9</f>
        <v>12500</v>
      </c>
      <c r="D14" s="1283"/>
      <c r="E14" s="624"/>
      <c r="F14" s="624"/>
      <c r="G14" s="624"/>
      <c r="H14" s="624">
        <f>+C14</f>
        <v>12500</v>
      </c>
      <c r="I14" s="624"/>
      <c r="J14" s="624"/>
      <c r="K14" s="624"/>
      <c r="L14" s="624"/>
      <c r="M14" s="624"/>
      <c r="N14" s="624"/>
      <c r="O14" s="624"/>
      <c r="P14" s="1182">
        <f t="shared" si="7"/>
        <v>12500</v>
      </c>
      <c r="Q14" s="548">
        <f>$C14*(1+'19 Resumen'!$E$33)</f>
        <v>13250</v>
      </c>
      <c r="R14" s="304">
        <f>$O14*(1+'19 Resumen'!$E$33)</f>
        <v>0</v>
      </c>
      <c r="S14" s="304">
        <f>$O14*(1+'19 Resumen'!$E$33)</f>
        <v>0</v>
      </c>
      <c r="T14" s="304">
        <f>$O14*(1+'19 Resumen'!$E$33)</f>
        <v>0</v>
      </c>
      <c r="U14" s="714">
        <f>H14*(1+'19 Resumen'!$E$33)</f>
        <v>13250</v>
      </c>
      <c r="V14" s="714">
        <f>I14*(1+'19 Resumen'!$E$33)</f>
        <v>0</v>
      </c>
      <c r="W14" s="714">
        <f>J14*(1+'19 Resumen'!$E$33)</f>
        <v>0</v>
      </c>
      <c r="X14" s="714">
        <f>K14*(1+'19 Resumen'!$E$33)</f>
        <v>0</v>
      </c>
      <c r="Y14" s="714">
        <f>L14*(1+'19 Resumen'!$E$33)</f>
        <v>0</v>
      </c>
      <c r="Z14" s="714">
        <f>M14*(1+'19 Resumen'!$E$33)</f>
        <v>0</v>
      </c>
      <c r="AA14" s="714">
        <f>N14*(1+'19 Resumen'!$E$33)</f>
        <v>0</v>
      </c>
      <c r="AB14" s="714">
        <f>O14*(1+'19 Resumen'!$E$33)</f>
        <v>0</v>
      </c>
      <c r="AC14" s="336">
        <f t="shared" si="6"/>
        <v>26500</v>
      </c>
      <c r="AD14" s="114">
        <f t="shared" si="4"/>
        <v>12500</v>
      </c>
      <c r="AE14" s="97">
        <f t="shared" si="5"/>
        <v>26500</v>
      </c>
      <c r="AF14" s="97">
        <f>+AE14*(1+'19 Resumen'!$F$33)</f>
        <v>28090</v>
      </c>
      <c r="AG14" s="97">
        <f>+AF14*(1+'19 Resumen'!$G$33)</f>
        <v>29775.4</v>
      </c>
      <c r="AH14" s="97">
        <f>+AG14*(1+'19 Resumen'!$H$33)</f>
        <v>31561.924000000003</v>
      </c>
      <c r="AI14" s="97">
        <f>+AH14*(1+'19 Resumen'!$I$33)</f>
        <v>33076.896352000003</v>
      </c>
      <c r="AJ14" s="97">
        <f>+AI14*(1+'19 Resumen'!$I$33)</f>
        <v>34664.587376896008</v>
      </c>
      <c r="AK14" s="97">
        <f>+AJ14*(1+'19 Resumen'!$I$33)</f>
        <v>36328.487570987018</v>
      </c>
      <c r="AL14" s="97">
        <f>+AK14*(1+'19 Resumen'!$I$33)</f>
        <v>38072.254974394396</v>
      </c>
      <c r="AM14" s="98">
        <f>+AL14*(1+'19 Resumen'!$I$33)</f>
        <v>39899.723213165329</v>
      </c>
    </row>
    <row r="15" spans="1:39" ht="15" customHeight="1" x14ac:dyDescent="0.2">
      <c r="A15" s="302" t="s">
        <v>274</v>
      </c>
      <c r="B15" s="647">
        <v>2000</v>
      </c>
      <c r="C15" s="996">
        <f>B15*'19 Resumen'!$L$9</f>
        <v>2000</v>
      </c>
      <c r="D15" s="1283"/>
      <c r="E15" s="624"/>
      <c r="F15" s="624"/>
      <c r="G15" s="624"/>
      <c r="H15" s="624">
        <f>+C15</f>
        <v>2000</v>
      </c>
      <c r="I15" s="624"/>
      <c r="J15" s="624"/>
      <c r="K15" s="624"/>
      <c r="L15" s="624"/>
      <c r="M15" s="624"/>
      <c r="N15" s="624"/>
      <c r="O15" s="624"/>
      <c r="P15" s="1182">
        <f t="shared" si="7"/>
        <v>2000</v>
      </c>
      <c r="Q15" s="548">
        <f>$O15*(1+'19 Resumen'!$E$33)</f>
        <v>0</v>
      </c>
      <c r="R15" s="304">
        <f>$O15*(1+'19 Resumen'!$E$33)</f>
        <v>0</v>
      </c>
      <c r="S15" s="304">
        <f>$O15*(1+'19 Resumen'!$E$33)</f>
        <v>0</v>
      </c>
      <c r="T15" s="304">
        <f>$O15*(1+'19 Resumen'!$E$33)</f>
        <v>0</v>
      </c>
      <c r="U15" s="714">
        <f>H15*(1+'19 Resumen'!$E$33)</f>
        <v>2120</v>
      </c>
      <c r="V15" s="714">
        <f>I15*(1+'19 Resumen'!$E$33)</f>
        <v>0</v>
      </c>
      <c r="W15" s="714">
        <f>J15*(1+'19 Resumen'!$E$33)</f>
        <v>0</v>
      </c>
      <c r="X15" s="714">
        <f>K15*(1+'19 Resumen'!$E$33)</f>
        <v>0</v>
      </c>
      <c r="Y15" s="714">
        <f>L15*(1+'19 Resumen'!$E$33)</f>
        <v>0</v>
      </c>
      <c r="Z15" s="714">
        <f>M15*(1+'19 Resumen'!$E$33)</f>
        <v>0</v>
      </c>
      <c r="AA15" s="714">
        <f>N15*(1+'19 Resumen'!$E$33)</f>
        <v>0</v>
      </c>
      <c r="AB15" s="714">
        <f>O15*(1+'19 Resumen'!$E$33)</f>
        <v>0</v>
      </c>
      <c r="AC15" s="336">
        <f t="shared" si="6"/>
        <v>2120</v>
      </c>
      <c r="AD15" s="114">
        <f t="shared" si="4"/>
        <v>2000</v>
      </c>
      <c r="AE15" s="97">
        <f t="shared" si="5"/>
        <v>2120</v>
      </c>
      <c r="AF15" s="97">
        <f>+AE15*(1+'19 Resumen'!$F$33)</f>
        <v>2247.2000000000003</v>
      </c>
      <c r="AG15" s="97">
        <f>+AF15*(1+'19 Resumen'!$G$33)</f>
        <v>2382.0320000000006</v>
      </c>
      <c r="AH15" s="97">
        <f>+AG15*(1+'19 Resumen'!$H$33)</f>
        <v>2524.9539200000008</v>
      </c>
      <c r="AI15" s="97">
        <f>+AH15*(1+'19 Resumen'!$I$33)</f>
        <v>2646.1517081600009</v>
      </c>
      <c r="AJ15" s="97">
        <f>+AI15*(1+'19 Resumen'!$I$33)</f>
        <v>2773.1669901516811</v>
      </c>
      <c r="AK15" s="97">
        <f>+AJ15*(1+'19 Resumen'!$I$33)</f>
        <v>2906.2790056789618</v>
      </c>
      <c r="AL15" s="97">
        <f>+AK15*(1+'19 Resumen'!$I$33)</f>
        <v>3045.780397951552</v>
      </c>
      <c r="AM15" s="98">
        <f>+AL15*(1+'19 Resumen'!$I$33)</f>
        <v>3191.9778570532267</v>
      </c>
    </row>
    <row r="16" spans="1:39" ht="15" customHeight="1" x14ac:dyDescent="0.25">
      <c r="A16" s="703" t="s">
        <v>388</v>
      </c>
      <c r="B16" s="698">
        <v>500</v>
      </c>
      <c r="C16" s="996">
        <f>B16*'19 Resumen'!$L$9</f>
        <v>500</v>
      </c>
      <c r="D16" s="1284">
        <f>IF(D$3&lt;'19 Resumen'!$M$4,0,ROUND('17 Hoja de Trabajo'!B$10*'11 Gastos de Operación'!$C16,0))</f>
        <v>0</v>
      </c>
      <c r="E16" s="1281">
        <f>IF(E$3&lt;'19 Resumen'!$M$4,0,ROUND('17 Hoja de Trabajo'!C$10*'11 Gastos de Operación'!$C16,0))</f>
        <v>0</v>
      </c>
      <c r="F16" s="1281">
        <f>IF(F$3&lt;'19 Resumen'!$M$4,0,ROUND('17 Hoja de Trabajo'!D$10*'11 Gastos de Operación'!$C16,0))</f>
        <v>0</v>
      </c>
      <c r="G16" s="1281">
        <f>IF(G$3&lt;'19 Resumen'!$M$4,0,ROUND('17 Hoja de Trabajo'!E$10*'11 Gastos de Operación'!$C16,0))</f>
        <v>0</v>
      </c>
      <c r="H16" s="1281">
        <f>IF(H$3&lt;'19 Resumen'!$M$4,0,ROUND('17 Hoja de Trabajo'!F$10*'11 Gastos de Operación'!$C16,0))</f>
        <v>0</v>
      </c>
      <c r="I16" s="1281">
        <f>IF(I$3&lt;'19 Resumen'!$M$4,0,ROUND('17 Hoja de Trabajo'!G$10*'11 Gastos de Operación'!$C16,0))</f>
        <v>400</v>
      </c>
      <c r="J16" s="1281">
        <f>IF(J$3&lt;'19 Resumen'!$M$4,0,ROUND('17 Hoja de Trabajo'!H$10*'11 Gastos de Operación'!$C16,0))</f>
        <v>350</v>
      </c>
      <c r="K16" s="1281">
        <f>IF(K$3&lt;'19 Resumen'!$M$4,0,ROUND('17 Hoja de Trabajo'!I$10*'11 Gastos de Operación'!$C16,0))</f>
        <v>300</v>
      </c>
      <c r="L16" s="1281">
        <f>IF(L$3&lt;'19 Resumen'!$M$4,0,ROUND('17 Hoja de Trabajo'!J$10*'11 Gastos de Operación'!$C16,0))</f>
        <v>350</v>
      </c>
      <c r="M16" s="1281">
        <f>IF(M$3&lt;'19 Resumen'!$M$4,0,ROUND('17 Hoja de Trabajo'!K$10*'11 Gastos de Operación'!$C16,0))</f>
        <v>600</v>
      </c>
      <c r="N16" s="1281">
        <f>IF(N$3&lt;'19 Resumen'!$M$4,0,ROUND('17 Hoja de Trabajo'!L$10*'11 Gastos de Operación'!$C16,0))</f>
        <v>750</v>
      </c>
      <c r="O16" s="1281">
        <f>IF(O$3&lt;'19 Resumen'!$M$4,0,ROUND('17 Hoja de Trabajo'!M$10*'11 Gastos de Operación'!$C16,0))</f>
        <v>900</v>
      </c>
      <c r="P16" s="1182">
        <f t="shared" si="7"/>
        <v>3650</v>
      </c>
      <c r="Q16" s="548">
        <f>ROUND('17 Hoja de Trabajo'!B$10*$C16,0)</f>
        <v>300</v>
      </c>
      <c r="R16" s="304">
        <f>ROUND('17 Hoja de Trabajo'!C$10*$C16,0)</f>
        <v>500</v>
      </c>
      <c r="S16" s="304">
        <f>ROUND('17 Hoja de Trabajo'!D$10*$C16,0)</f>
        <v>475</v>
      </c>
      <c r="T16" s="304">
        <f>ROUND('17 Hoja de Trabajo'!E$10*$C16,0)</f>
        <v>475</v>
      </c>
      <c r="U16" s="304">
        <f>ROUND('17 Hoja de Trabajo'!F$10*$C16,0)</f>
        <v>600</v>
      </c>
      <c r="V16" s="1286">
        <f>ROUND('17 Hoja de Trabajo'!G$10*$C16,0)</f>
        <v>400</v>
      </c>
      <c r="W16" s="304">
        <f>ROUND('17 Hoja de Trabajo'!H$10*$C16,0)</f>
        <v>350</v>
      </c>
      <c r="X16" s="304">
        <f>ROUND('17 Hoja de Trabajo'!I$10*$C16,0)</f>
        <v>300</v>
      </c>
      <c r="Y16" s="304">
        <f>ROUND('17 Hoja de Trabajo'!J$10*$C16,0)</f>
        <v>350</v>
      </c>
      <c r="Z16" s="304">
        <f>ROUND('17 Hoja de Trabajo'!K$10*$C16,0)</f>
        <v>600</v>
      </c>
      <c r="AA16" s="304">
        <f>ROUND('17 Hoja de Trabajo'!L$10*$C16,0)</f>
        <v>750</v>
      </c>
      <c r="AB16" s="304">
        <f>ROUND('17 Hoja de Trabajo'!M$10*$C16,0)</f>
        <v>900</v>
      </c>
      <c r="AC16" s="336">
        <f t="shared" si="6"/>
        <v>6000</v>
      </c>
      <c r="AD16" s="114">
        <f t="shared" si="4"/>
        <v>3650</v>
      </c>
      <c r="AE16" s="97">
        <f t="shared" si="5"/>
        <v>6000</v>
      </c>
      <c r="AF16" s="97">
        <f>+AE16*(1+'19 Resumen'!$F$33)</f>
        <v>6360</v>
      </c>
      <c r="AG16" s="97">
        <f>+AF16*(1+'19 Resumen'!$G$33)</f>
        <v>6741.6</v>
      </c>
      <c r="AH16" s="97">
        <f>+AG16*(1+'19 Resumen'!$H$33)</f>
        <v>7146.0960000000005</v>
      </c>
      <c r="AI16" s="97">
        <f>+AH16*(1+'19 Resumen'!$I$33)</f>
        <v>7489.1086080000005</v>
      </c>
      <c r="AJ16" s="97">
        <f>+AI16*(1+'19 Resumen'!$I$33)</f>
        <v>7848.5858211840005</v>
      </c>
      <c r="AK16" s="97">
        <f>+AJ16*(1+'19 Resumen'!$I$33)</f>
        <v>8225.317940600833</v>
      </c>
      <c r="AL16" s="97">
        <f>+AK16*(1+'19 Resumen'!$I$33)</f>
        <v>8620.1332017496734</v>
      </c>
      <c r="AM16" s="98">
        <f>+AL16*(1+'19 Resumen'!$I$33)</f>
        <v>9033.8995954336588</v>
      </c>
    </row>
    <row r="17" spans="1:39" ht="15" customHeight="1" x14ac:dyDescent="0.2">
      <c r="A17" s="302" t="s">
        <v>275</v>
      </c>
      <c r="B17" s="647">
        <v>8000</v>
      </c>
      <c r="C17" s="996">
        <f>B17*'19 Resumen'!$L$9</f>
        <v>8000</v>
      </c>
      <c r="D17" s="686"/>
      <c r="E17" s="11"/>
      <c r="F17" s="11"/>
      <c r="G17" s="11">
        <f>+C17</f>
        <v>8000</v>
      </c>
      <c r="H17" s="11"/>
      <c r="I17" s="11"/>
      <c r="J17" s="11"/>
      <c r="K17" s="11"/>
      <c r="L17" s="11"/>
      <c r="M17" s="11"/>
      <c r="N17" s="11"/>
      <c r="O17" s="11"/>
      <c r="P17" s="1182">
        <f t="shared" si="7"/>
        <v>8000</v>
      </c>
      <c r="Q17" s="548">
        <f>+D17</f>
        <v>0</v>
      </c>
      <c r="R17" s="304">
        <f t="shared" ref="R17:AB17" si="8">+E17</f>
        <v>0</v>
      </c>
      <c r="S17" s="304">
        <f t="shared" si="8"/>
        <v>0</v>
      </c>
      <c r="T17" s="304">
        <f t="shared" si="8"/>
        <v>8000</v>
      </c>
      <c r="U17" s="304">
        <f t="shared" si="8"/>
        <v>0</v>
      </c>
      <c r="V17" s="304">
        <f t="shared" si="8"/>
        <v>0</v>
      </c>
      <c r="W17" s="304">
        <f t="shared" si="8"/>
        <v>0</v>
      </c>
      <c r="X17" s="304">
        <f t="shared" si="8"/>
        <v>0</v>
      </c>
      <c r="Y17" s="304">
        <f t="shared" si="8"/>
        <v>0</v>
      </c>
      <c r="Z17" s="304">
        <f t="shared" si="8"/>
        <v>0</v>
      </c>
      <c r="AA17" s="304">
        <f t="shared" si="8"/>
        <v>0</v>
      </c>
      <c r="AB17" s="304">
        <f t="shared" si="8"/>
        <v>0</v>
      </c>
      <c r="AC17" s="336">
        <f t="shared" si="6"/>
        <v>8000</v>
      </c>
      <c r="AD17" s="114">
        <f t="shared" si="4"/>
        <v>8000</v>
      </c>
      <c r="AE17" s="97">
        <f t="shared" si="5"/>
        <v>8000</v>
      </c>
      <c r="AF17" s="97">
        <f>+AE17*(1+'19 Resumen'!$F$33)</f>
        <v>8480</v>
      </c>
      <c r="AG17" s="97">
        <f>+AF17*(1+'19 Resumen'!$G$33)</f>
        <v>8988.8000000000011</v>
      </c>
      <c r="AH17" s="97">
        <f>+AG17*(1+'19 Resumen'!$H$33)</f>
        <v>9528.1280000000024</v>
      </c>
      <c r="AI17" s="97">
        <f>+AH17*(1+'19 Resumen'!$I$33)</f>
        <v>9985.4781440000024</v>
      </c>
      <c r="AJ17" s="97">
        <f>+AI17*(1+'19 Resumen'!$I$33)</f>
        <v>10464.781094912003</v>
      </c>
      <c r="AK17" s="97">
        <f>+AJ17*(1+'19 Resumen'!$I$33)</f>
        <v>10967.090587467779</v>
      </c>
      <c r="AL17" s="97">
        <f>+AK17*(1+'19 Resumen'!$I$33)</f>
        <v>11493.510935666232</v>
      </c>
      <c r="AM17" s="98">
        <f>+AL17*(1+'19 Resumen'!$I$33)</f>
        <v>12045.199460578213</v>
      </c>
    </row>
    <row r="18" spans="1:39" ht="15" customHeight="1" x14ac:dyDescent="0.2">
      <c r="A18" s="302" t="s">
        <v>276</v>
      </c>
      <c r="B18" s="647">
        <f>100*'19 Resumen'!M5</f>
        <v>2250</v>
      </c>
      <c r="C18" s="996">
        <f>B18*'19 Resumen'!$L$9</f>
        <v>2250</v>
      </c>
      <c r="D18" s="686"/>
      <c r="E18" s="11"/>
      <c r="F18" s="11">
        <f>+C18</f>
        <v>2250</v>
      </c>
      <c r="G18" s="11">
        <f>+C18</f>
        <v>2250</v>
      </c>
      <c r="H18" s="11">
        <f>+C18</f>
        <v>2250</v>
      </c>
      <c r="I18" s="11"/>
      <c r="J18" s="11"/>
      <c r="K18" s="11"/>
      <c r="L18" s="11"/>
      <c r="M18" s="11">
        <f>+H18</f>
        <v>2250</v>
      </c>
      <c r="N18" s="11"/>
      <c r="O18" s="11"/>
      <c r="P18" s="1182">
        <f t="shared" si="7"/>
        <v>9000</v>
      </c>
      <c r="Q18" s="548">
        <f>+D18</f>
        <v>0</v>
      </c>
      <c r="R18" s="304">
        <f t="shared" ref="R18" si="9">+E18</f>
        <v>0</v>
      </c>
      <c r="S18" s="304">
        <f t="shared" ref="S18" si="10">+F18</f>
        <v>2250</v>
      </c>
      <c r="T18" s="304">
        <f t="shared" ref="T18" si="11">+G18</f>
        <v>2250</v>
      </c>
      <c r="U18" s="304">
        <f t="shared" ref="U18" si="12">+H18</f>
        <v>2250</v>
      </c>
      <c r="V18" s="304">
        <f t="shared" ref="V18" si="13">+I18</f>
        <v>0</v>
      </c>
      <c r="W18" s="304">
        <f t="shared" ref="W18" si="14">+J18</f>
        <v>0</v>
      </c>
      <c r="X18" s="304">
        <f t="shared" ref="X18" si="15">+K18</f>
        <v>0</v>
      </c>
      <c r="Y18" s="304">
        <f t="shared" ref="Y18" si="16">+L18</f>
        <v>0</v>
      </c>
      <c r="Z18" s="304">
        <f t="shared" ref="Z18" si="17">+M18</f>
        <v>2250</v>
      </c>
      <c r="AA18" s="304">
        <f t="shared" ref="AA18" si="18">+N18</f>
        <v>0</v>
      </c>
      <c r="AB18" s="304">
        <f t="shared" ref="AB18" si="19">+O18</f>
        <v>0</v>
      </c>
      <c r="AC18" s="336">
        <f t="shared" si="6"/>
        <v>9000</v>
      </c>
      <c r="AD18" s="114">
        <f t="shared" si="4"/>
        <v>9000</v>
      </c>
      <c r="AE18" s="97">
        <f t="shared" si="5"/>
        <v>9000</v>
      </c>
      <c r="AF18" s="97">
        <f>+AE18*(1+'19 Resumen'!$F$33)</f>
        <v>9540</v>
      </c>
      <c r="AG18" s="97">
        <f>+AF18*(1+'19 Resumen'!$G$33)</f>
        <v>10112.4</v>
      </c>
      <c r="AH18" s="97">
        <f>+AG18*(1+'19 Resumen'!$H$33)</f>
        <v>10719.144</v>
      </c>
      <c r="AI18" s="97">
        <f>+AH18*(1+'19 Resumen'!$I$33)</f>
        <v>11233.662912000002</v>
      </c>
      <c r="AJ18" s="97">
        <f>+AI18*(1+'19 Resumen'!$I$33)</f>
        <v>11772.878731776002</v>
      </c>
      <c r="AK18" s="97">
        <f>+AJ18*(1+'19 Resumen'!$I$33)</f>
        <v>12337.97691090125</v>
      </c>
      <c r="AL18" s="97">
        <f>+AK18*(1+'19 Resumen'!$I$33)</f>
        <v>12930.199802624511</v>
      </c>
      <c r="AM18" s="98">
        <f>+AL18*(1+'19 Resumen'!$I$33)</f>
        <v>13550.849393150487</v>
      </c>
    </row>
    <row r="19" spans="1:39" ht="15" customHeight="1" x14ac:dyDescent="0.2">
      <c r="A19" s="302" t="s">
        <v>371</v>
      </c>
      <c r="B19" s="647">
        <v>3500</v>
      </c>
      <c r="C19" s="996">
        <f>B19*'19 Resumen'!$L$9</f>
        <v>3500</v>
      </c>
      <c r="D19" s="1284">
        <f>IF(D$3&lt;'19 Resumen'!$M$4-3,0,ROUND('17 Hoja de Trabajo'!B$10*$C19/2+$C19/2,0))</f>
        <v>0</v>
      </c>
      <c r="E19" s="1281">
        <f>IF(E$3&lt;'19 Resumen'!$M$4-3,0,ROUND('17 Hoja de Trabajo'!C$10*$C19/2+$C19/2,0))</f>
        <v>0</v>
      </c>
      <c r="F19" s="1281">
        <f>IF(F$3&lt;'19 Resumen'!$M$4-3,0,ROUND('17 Hoja de Trabajo'!D$10*$C19/2+$C19/2,0))</f>
        <v>3413</v>
      </c>
      <c r="G19" s="1281">
        <f>IF(G$3&lt;'19 Resumen'!$M$4-3,0,ROUND('17 Hoja de Trabajo'!E$10*$C19/2+$C19/2,0))</f>
        <v>3413</v>
      </c>
      <c r="H19" s="1281">
        <f>IF(H$3&lt;'19 Resumen'!$M$4-3,0,ROUND('17 Hoja de Trabajo'!F$10*$C19/2+$C19/2,0))</f>
        <v>3850</v>
      </c>
      <c r="I19" s="1281">
        <f>IF(I$3&lt;'19 Resumen'!$M$4-3,0,ROUND('17 Hoja de Trabajo'!G$10*$C19/2+$C19/2,0))</f>
        <v>3150</v>
      </c>
      <c r="J19" s="1281">
        <f>IF(J$3&lt;'19 Resumen'!$M$4-3,0,ROUND('17 Hoja de Trabajo'!H$10*$C19/2+$C19/2,0))</f>
        <v>2975</v>
      </c>
      <c r="K19" s="1281">
        <f>IF(K$3&lt;'19 Resumen'!$M$4-3,0,ROUND('17 Hoja de Trabajo'!I$10*$C19/2+$C19/2,0))</f>
        <v>2800</v>
      </c>
      <c r="L19" s="1281">
        <f>IF(L$3&lt;'19 Resumen'!$M$4-3,0,ROUND('17 Hoja de Trabajo'!J$10*$C19/2+$C19/2,0))</f>
        <v>2975</v>
      </c>
      <c r="M19" s="1281">
        <f>IF(M$3&lt;'19 Resumen'!$M$4-3,0,ROUND('17 Hoja de Trabajo'!K$10*$C19/2+$C19/2,0))</f>
        <v>3850</v>
      </c>
      <c r="N19" s="1281">
        <f>IF(N$3&lt;'19 Resumen'!$M$4-3,0,ROUND('17 Hoja de Trabajo'!L$10*$C19/2+$C19/2,0))</f>
        <v>4375</v>
      </c>
      <c r="O19" s="1281">
        <f>IF(O$3&lt;'19 Resumen'!$M$4-3,0,ROUND('17 Hoja de Trabajo'!M$10*$C19/2+$C19/2,0))</f>
        <v>4900</v>
      </c>
      <c r="P19" s="1182">
        <f t="shared" si="7"/>
        <v>35701</v>
      </c>
      <c r="Q19" s="1288">
        <f>ROUND('17 Hoja de Trabajo'!B$10*$C19/2+$C19/2,0)</f>
        <v>2800</v>
      </c>
      <c r="R19" s="1286">
        <f>ROUND('17 Hoja de Trabajo'!C$10*$C19/2+$C19/2,0)</f>
        <v>3500</v>
      </c>
      <c r="S19" s="1286">
        <f>ROUND('17 Hoja de Trabajo'!D$10*$C19/2+$C19/2,0)</f>
        <v>3413</v>
      </c>
      <c r="T19" s="1286">
        <f>ROUND('17 Hoja de Trabajo'!E$10*$C19/2+$C19/2,0)</f>
        <v>3413</v>
      </c>
      <c r="U19" s="1286">
        <f>ROUND('17 Hoja de Trabajo'!F$10*$C19/2+$C19/2,0)</f>
        <v>3850</v>
      </c>
      <c r="V19" s="1286">
        <f>ROUND('17 Hoja de Trabajo'!G$10*$C19/2+$C19/2,0)</f>
        <v>3150</v>
      </c>
      <c r="W19" s="1286">
        <f>ROUND('17 Hoja de Trabajo'!H$10*$C19/2+$C19/2,0)</f>
        <v>2975</v>
      </c>
      <c r="X19" s="1286">
        <f>ROUND('17 Hoja de Trabajo'!I$10*$C19/2+$C19/2,0)</f>
        <v>2800</v>
      </c>
      <c r="Y19" s="1286">
        <f>ROUND('17 Hoja de Trabajo'!J$10*$C19/2+$C19/2,0)</f>
        <v>2975</v>
      </c>
      <c r="Z19" s="1286">
        <f>ROUND('17 Hoja de Trabajo'!K$10*$C19/2+$C19/2,0)</f>
        <v>3850</v>
      </c>
      <c r="AA19" s="1286">
        <f>ROUND('17 Hoja de Trabajo'!L$10*$C19/2+$C19/2,0)</f>
        <v>4375</v>
      </c>
      <c r="AB19" s="1286">
        <f>ROUND('17 Hoja de Trabajo'!M$10*$C19/2+$C19/2,0)</f>
        <v>4900</v>
      </c>
      <c r="AC19" s="336">
        <f t="shared" si="6"/>
        <v>42001</v>
      </c>
      <c r="AD19" s="114">
        <f t="shared" si="4"/>
        <v>35701</v>
      </c>
      <c r="AE19" s="97">
        <f t="shared" si="5"/>
        <v>42001</v>
      </c>
      <c r="AF19" s="97">
        <f>+AE19*(1+'19 Resumen'!$F$33)</f>
        <v>44521.060000000005</v>
      </c>
      <c r="AG19" s="97">
        <f>+AF19*(1+'19 Resumen'!$G$33)</f>
        <v>47192.323600000011</v>
      </c>
      <c r="AH19" s="97">
        <f>+AG19*(1+'19 Resumen'!$H$33)</f>
        <v>50023.86301600001</v>
      </c>
      <c r="AI19" s="97">
        <f>+AH19*(1+'19 Resumen'!$I$33)</f>
        <v>52425.008440768011</v>
      </c>
      <c r="AJ19" s="97">
        <f>+AI19*(1+'19 Resumen'!$I$33)</f>
        <v>54941.408845924881</v>
      </c>
      <c r="AK19" s="97">
        <f>+AJ19*(1+'19 Resumen'!$I$33)</f>
        <v>57578.596470529279</v>
      </c>
      <c r="AL19" s="97">
        <f>+AK19*(1+'19 Resumen'!$I$33)</f>
        <v>60342.369101114688</v>
      </c>
      <c r="AM19" s="98">
        <f>+AL19*(1+'19 Resumen'!$I$33)</f>
        <v>63238.802817968193</v>
      </c>
    </row>
    <row r="20" spans="1:39" ht="15" customHeight="1" thickBot="1" x14ac:dyDescent="0.25">
      <c r="A20" s="306" t="s">
        <v>196</v>
      </c>
      <c r="B20" s="702">
        <v>3100</v>
      </c>
      <c r="C20" s="997">
        <f>B20*'19 Resumen'!$L$9</f>
        <v>3100</v>
      </c>
      <c r="D20" s="1285">
        <f>IF(D$3&lt;'19 Resumen'!$M$4-1,0,+$C20)</f>
        <v>0</v>
      </c>
      <c r="E20" s="625">
        <f>IF(E$3&lt;'19 Resumen'!$M$4-1,0,+$C20)</f>
        <v>0</v>
      </c>
      <c r="F20" s="625">
        <f>IF(F$3&lt;'19 Resumen'!$M$4-1,0,+$C20)</f>
        <v>0</v>
      </c>
      <c r="G20" s="625">
        <f>IF(G$3&lt;'19 Resumen'!$M$4-1,0,+$C20)</f>
        <v>0</v>
      </c>
      <c r="H20" s="625">
        <f>IF(H$3&lt;'19 Resumen'!$M$4-1,0,+$C20)</f>
        <v>3100</v>
      </c>
      <c r="I20" s="625">
        <f>IF(I$3&lt;'19 Resumen'!$M$4-1,0,+$C20)</f>
        <v>3100</v>
      </c>
      <c r="J20" s="625">
        <f>IF(J$3&lt;'19 Resumen'!$M$4-1,0,+$C20)</f>
        <v>3100</v>
      </c>
      <c r="K20" s="625">
        <f>IF(K$3&lt;'19 Resumen'!$M$4-1,0,+$C20)</f>
        <v>3100</v>
      </c>
      <c r="L20" s="625">
        <f>IF(L$3&lt;'19 Resumen'!$M$4-1,0,+$C20)</f>
        <v>3100</v>
      </c>
      <c r="M20" s="625">
        <f>IF(M$3&lt;'19 Resumen'!$M$4-1,0,+$C20)</f>
        <v>3100</v>
      </c>
      <c r="N20" s="625">
        <f>IF(N$3&lt;'19 Resumen'!$M$4-1,0,+$C20)</f>
        <v>3100</v>
      </c>
      <c r="O20" s="625">
        <f>IF(O$3&lt;'19 Resumen'!$M$4-1,0,+$C20)</f>
        <v>3100</v>
      </c>
      <c r="P20" s="1180">
        <f t="shared" si="7"/>
        <v>24800</v>
      </c>
      <c r="Q20" s="1289">
        <f>ROUND($O20*(1+'19 Resumen'!$E$33),0)</f>
        <v>3286</v>
      </c>
      <c r="R20" s="308">
        <f>ROUND($O20*(1+'19 Resumen'!$E$33),0)</f>
        <v>3286</v>
      </c>
      <c r="S20" s="308">
        <f>ROUND($O20*(1+'19 Resumen'!$E$33),0)</f>
        <v>3286</v>
      </c>
      <c r="T20" s="308">
        <f>ROUND($O20*(1+'19 Resumen'!$E$33),0)</f>
        <v>3286</v>
      </c>
      <c r="U20" s="715">
        <f>ROUND($O20*(1+'19 Resumen'!$E$33),0)</f>
        <v>3286</v>
      </c>
      <c r="V20" s="715">
        <f>ROUND($O20*(1+'19 Resumen'!$E$33),0)</f>
        <v>3286</v>
      </c>
      <c r="W20" s="715">
        <f>ROUND($O20*(1+'19 Resumen'!$E$33),0)</f>
        <v>3286</v>
      </c>
      <c r="X20" s="715">
        <f>ROUND($O20*(1+'19 Resumen'!$E$33),0)</f>
        <v>3286</v>
      </c>
      <c r="Y20" s="715">
        <f>ROUND($O20*(1+'19 Resumen'!$E$33),0)</f>
        <v>3286</v>
      </c>
      <c r="Z20" s="715">
        <f>ROUND($O20*(1+'19 Resumen'!$E$33),0)</f>
        <v>3286</v>
      </c>
      <c r="AA20" s="715">
        <f>ROUND($O20*(1+'19 Resumen'!$E$33),0)</f>
        <v>3286</v>
      </c>
      <c r="AB20" s="715">
        <f>ROUND($O20*(1+'19 Resumen'!$E$33),0)</f>
        <v>3286</v>
      </c>
      <c r="AC20" s="179">
        <f t="shared" si="6"/>
        <v>39432</v>
      </c>
      <c r="AD20" s="116">
        <f t="shared" si="4"/>
        <v>24800</v>
      </c>
      <c r="AE20" s="102">
        <f t="shared" si="5"/>
        <v>39432</v>
      </c>
      <c r="AF20" s="102">
        <f>+AE20*(1+'19 Resumen'!$F$33)</f>
        <v>41797.920000000006</v>
      </c>
      <c r="AG20" s="102">
        <f>+AF20*(1+'19 Resumen'!$G$33)</f>
        <v>44305.795200000008</v>
      </c>
      <c r="AH20" s="102">
        <f>+AG20*(1+'19 Resumen'!$H$33)</f>
        <v>46964.14291200001</v>
      </c>
      <c r="AI20" s="102">
        <f>+AH20*(1+'19 Resumen'!$I$33)</f>
        <v>49218.421771776011</v>
      </c>
      <c r="AJ20" s="102">
        <f>+AI20*(1+'19 Resumen'!$I$33)</f>
        <v>51580.90601682126</v>
      </c>
      <c r="AK20" s="102">
        <f>+AJ20*(1+'19 Resumen'!$I$33)</f>
        <v>54056.78950562868</v>
      </c>
      <c r="AL20" s="102">
        <f>+AK20*(1+'19 Resumen'!$I$33)</f>
        <v>56651.515401898861</v>
      </c>
      <c r="AM20" s="103">
        <f>+AL20*(1+'19 Resumen'!$I$33)</f>
        <v>59370.788141190009</v>
      </c>
    </row>
    <row r="21" spans="1:39" ht="15" customHeight="1" x14ac:dyDescent="0.2">
      <c r="A21" s="323" t="s">
        <v>372</v>
      </c>
      <c r="B21" s="320"/>
      <c r="C21" s="309"/>
      <c r="D21" s="633">
        <f t="shared" ref="D21:E21" si="20">SUM(D7:D20)</f>
        <v>0</v>
      </c>
      <c r="E21" s="632">
        <f t="shared" si="20"/>
        <v>0</v>
      </c>
      <c r="F21" s="632">
        <f>SUM(F7:F20)</f>
        <v>5663</v>
      </c>
      <c r="G21" s="632">
        <f t="shared" ref="G21:O21" si="21">SUM(G7:G20)</f>
        <v>25603</v>
      </c>
      <c r="H21" s="632">
        <f t="shared" si="21"/>
        <v>45340</v>
      </c>
      <c r="I21" s="632">
        <f t="shared" si="21"/>
        <v>24330</v>
      </c>
      <c r="J21" s="632">
        <f t="shared" si="21"/>
        <v>36255</v>
      </c>
      <c r="K21" s="632">
        <f t="shared" si="21"/>
        <v>30660</v>
      </c>
      <c r="L21" s="632">
        <f t="shared" si="21"/>
        <v>29535</v>
      </c>
      <c r="M21" s="632">
        <f t="shared" si="21"/>
        <v>37840</v>
      </c>
      <c r="N21" s="632">
        <f t="shared" si="21"/>
        <v>24615</v>
      </c>
      <c r="O21" s="632">
        <f t="shared" si="21"/>
        <v>24760</v>
      </c>
      <c r="P21" s="704">
        <f>SUM(D21:O21)</f>
        <v>284601</v>
      </c>
      <c r="Q21" s="633">
        <f>SUM(Q7:Q20)</f>
        <v>27945.599999999999</v>
      </c>
      <c r="R21" s="632">
        <f t="shared" ref="R21:AB21" si="22">SUM(R7:R20)</f>
        <v>18280.400000000001</v>
      </c>
      <c r="S21" s="632">
        <f t="shared" si="22"/>
        <v>21111</v>
      </c>
      <c r="T21" s="632">
        <f t="shared" si="22"/>
        <v>37845.4</v>
      </c>
      <c r="U21" s="632">
        <f t="shared" si="22"/>
        <v>41466.400000000001</v>
      </c>
      <c r="V21" s="632">
        <f t="shared" si="22"/>
        <v>25264.800000000003</v>
      </c>
      <c r="W21" s="632">
        <f t="shared" si="22"/>
        <v>37957.800000000003</v>
      </c>
      <c r="X21" s="632">
        <f t="shared" si="22"/>
        <v>32079.600000000002</v>
      </c>
      <c r="Y21" s="632">
        <f t="shared" si="22"/>
        <v>30834.600000000002</v>
      </c>
      <c r="Z21" s="632">
        <f t="shared" si="22"/>
        <v>39240.400000000001</v>
      </c>
      <c r="AA21" s="632">
        <f t="shared" si="22"/>
        <v>25199.4</v>
      </c>
      <c r="AB21" s="632">
        <f t="shared" si="22"/>
        <v>25195.599999999999</v>
      </c>
      <c r="AC21" s="634">
        <f>SUM(AC7:AC20)*'19 Resumen'!$L$9</f>
        <v>362421</v>
      </c>
      <c r="AD21" s="633">
        <f>SUM(AD7:AD20)</f>
        <v>284601</v>
      </c>
      <c r="AE21" s="632">
        <f t="shared" ref="AE21:AM21" si="23">SUM(AE7:AE20)</f>
        <v>362421</v>
      </c>
      <c r="AF21" s="632">
        <f t="shared" si="23"/>
        <v>384166.26</v>
      </c>
      <c r="AG21" s="632">
        <f t="shared" si="23"/>
        <v>407216.23560000001</v>
      </c>
      <c r="AH21" s="632">
        <f t="shared" si="23"/>
        <v>431649.20973600011</v>
      </c>
      <c r="AI21" s="632">
        <f t="shared" si="23"/>
        <v>452368.37180332805</v>
      </c>
      <c r="AJ21" s="632">
        <f t="shared" si="23"/>
        <v>474082.05364988791</v>
      </c>
      <c r="AK21" s="632">
        <f t="shared" si="23"/>
        <v>496837.99222508253</v>
      </c>
      <c r="AL21" s="632">
        <f t="shared" si="23"/>
        <v>520686.21585188643</v>
      </c>
      <c r="AM21" s="634">
        <f t="shared" si="23"/>
        <v>545679.15421277704</v>
      </c>
    </row>
    <row r="22" spans="1:39" ht="15" customHeight="1" x14ac:dyDescent="0.2">
      <c r="A22" s="324" t="s">
        <v>237</v>
      </c>
      <c r="B22" s="321"/>
      <c r="C22" s="310"/>
      <c r="D22" s="328">
        <f t="shared" ref="D22:O23" si="24">IF($P$41=0,0,IF(D$41=0,0,$P22/$P$41))</f>
        <v>0</v>
      </c>
      <c r="E22" s="145">
        <f t="shared" si="24"/>
        <v>0</v>
      </c>
      <c r="F22" s="145">
        <f t="shared" si="24"/>
        <v>12600</v>
      </c>
      <c r="G22" s="145">
        <f t="shared" si="24"/>
        <v>12600</v>
      </c>
      <c r="H22" s="145">
        <f t="shared" si="24"/>
        <v>12600</v>
      </c>
      <c r="I22" s="145">
        <f t="shared" si="24"/>
        <v>12600</v>
      </c>
      <c r="J22" s="145">
        <f t="shared" si="24"/>
        <v>12600</v>
      </c>
      <c r="K22" s="145">
        <f t="shared" si="24"/>
        <v>12600</v>
      </c>
      <c r="L22" s="145">
        <f t="shared" si="24"/>
        <v>12600</v>
      </c>
      <c r="M22" s="145">
        <f t="shared" si="24"/>
        <v>12600</v>
      </c>
      <c r="N22" s="145">
        <f t="shared" si="24"/>
        <v>12600</v>
      </c>
      <c r="O22" s="145">
        <f t="shared" si="24"/>
        <v>12600</v>
      </c>
      <c r="P22" s="329">
        <f>+'14 Cedula de Depreciaciones'!E32</f>
        <v>126000</v>
      </c>
      <c r="Q22" s="149">
        <f t="shared" ref="Q22:AB23" si="25">IF($AC$41=0,0,IF(Q$41=0,0,$AC22/$AC$41))</f>
        <v>28083.333333333332</v>
      </c>
      <c r="R22" s="97">
        <f t="shared" si="25"/>
        <v>28083.333333333332</v>
      </c>
      <c r="S22" s="97">
        <f t="shared" si="25"/>
        <v>28083.333333333332</v>
      </c>
      <c r="T22" s="97">
        <f t="shared" si="25"/>
        <v>28083.333333333332</v>
      </c>
      <c r="U22" s="97">
        <f t="shared" si="25"/>
        <v>28083.333333333332</v>
      </c>
      <c r="V22" s="97">
        <f t="shared" si="25"/>
        <v>28083.333333333332</v>
      </c>
      <c r="W22" s="97">
        <f t="shared" si="25"/>
        <v>28083.333333333332</v>
      </c>
      <c r="X22" s="97">
        <f t="shared" si="25"/>
        <v>28083.333333333332</v>
      </c>
      <c r="Y22" s="97">
        <f t="shared" si="25"/>
        <v>28083.333333333332</v>
      </c>
      <c r="Z22" s="97">
        <f t="shared" si="25"/>
        <v>28083.333333333332</v>
      </c>
      <c r="AA22" s="97">
        <f t="shared" si="25"/>
        <v>28083.333333333332</v>
      </c>
      <c r="AB22" s="97">
        <f t="shared" si="25"/>
        <v>28083.333333333332</v>
      </c>
      <c r="AC22" s="311">
        <f>+'14 Cedula de Depreciaciones'!F32</f>
        <v>337000</v>
      </c>
      <c r="AD22" s="303">
        <f>+P22</f>
        <v>126000</v>
      </c>
      <c r="AE22" s="304">
        <f>+AC22</f>
        <v>337000</v>
      </c>
      <c r="AF22" s="304">
        <f>+'14 Cedula de Depreciaciones'!G32</f>
        <v>375000</v>
      </c>
      <c r="AG22" s="304">
        <f>+'14 Cedula de Depreciaciones'!H32</f>
        <v>375000</v>
      </c>
      <c r="AH22" s="304">
        <f>+'14 Cedula de Depreciaciones'!I32</f>
        <v>419000</v>
      </c>
      <c r="AI22" s="304">
        <f>+'14 Cedula de Depreciaciones'!J32</f>
        <v>303000</v>
      </c>
      <c r="AJ22" s="304">
        <f>+'14 Cedula de Depreciaciones'!K32</f>
        <v>295000</v>
      </c>
      <c r="AK22" s="304">
        <f>+'14 Cedula de Depreciaciones'!L32</f>
        <v>320000</v>
      </c>
      <c r="AL22" s="304">
        <f>+'14 Cedula de Depreciaciones'!M32</f>
        <v>320000</v>
      </c>
      <c r="AM22" s="311">
        <f>+'14 Cedula de Depreciaciones'!N32</f>
        <v>286000</v>
      </c>
    </row>
    <row r="23" spans="1:39" ht="15" customHeight="1" thickBot="1" x14ac:dyDescent="0.25">
      <c r="A23" s="325" t="s">
        <v>44</v>
      </c>
      <c r="B23" s="322"/>
      <c r="C23" s="312"/>
      <c r="D23" s="330">
        <f t="shared" si="24"/>
        <v>0</v>
      </c>
      <c r="E23" s="331">
        <f t="shared" si="24"/>
        <v>0</v>
      </c>
      <c r="F23" s="331">
        <f t="shared" si="24"/>
        <v>2500</v>
      </c>
      <c r="G23" s="331">
        <f t="shared" si="24"/>
        <v>2500</v>
      </c>
      <c r="H23" s="331">
        <f t="shared" si="24"/>
        <v>2500</v>
      </c>
      <c r="I23" s="331">
        <f t="shared" si="24"/>
        <v>2500</v>
      </c>
      <c r="J23" s="331">
        <f t="shared" si="24"/>
        <v>2500</v>
      </c>
      <c r="K23" s="331">
        <f t="shared" si="24"/>
        <v>2500</v>
      </c>
      <c r="L23" s="331">
        <f t="shared" si="24"/>
        <v>2500</v>
      </c>
      <c r="M23" s="331">
        <f t="shared" si="24"/>
        <v>2500</v>
      </c>
      <c r="N23" s="331">
        <f t="shared" si="24"/>
        <v>2500</v>
      </c>
      <c r="O23" s="331">
        <f t="shared" si="24"/>
        <v>2500</v>
      </c>
      <c r="P23" s="332">
        <f>+'14 Cedula de Depreciaciones'!E33</f>
        <v>25000</v>
      </c>
      <c r="Q23" s="154">
        <f t="shared" si="25"/>
        <v>2083.3333333333335</v>
      </c>
      <c r="R23" s="102">
        <f t="shared" si="25"/>
        <v>2083.3333333333335</v>
      </c>
      <c r="S23" s="102">
        <f t="shared" si="25"/>
        <v>2083.3333333333335</v>
      </c>
      <c r="T23" s="102">
        <f t="shared" si="25"/>
        <v>2083.3333333333335</v>
      </c>
      <c r="U23" s="102">
        <f t="shared" si="25"/>
        <v>2083.3333333333335</v>
      </c>
      <c r="V23" s="102">
        <f t="shared" si="25"/>
        <v>2083.3333333333335</v>
      </c>
      <c r="W23" s="102">
        <f t="shared" si="25"/>
        <v>2083.3333333333335</v>
      </c>
      <c r="X23" s="102">
        <f t="shared" si="25"/>
        <v>2083.3333333333335</v>
      </c>
      <c r="Y23" s="102">
        <f t="shared" si="25"/>
        <v>2083.3333333333335</v>
      </c>
      <c r="Z23" s="102">
        <f t="shared" si="25"/>
        <v>2083.3333333333335</v>
      </c>
      <c r="AA23" s="102">
        <f t="shared" si="25"/>
        <v>2083.3333333333335</v>
      </c>
      <c r="AB23" s="102">
        <f t="shared" si="25"/>
        <v>2083.3333333333335</v>
      </c>
      <c r="AC23" s="313">
        <f>+'14 Cedula de Depreciaciones'!F33</f>
        <v>25000</v>
      </c>
      <c r="AD23" s="307">
        <f>+P23</f>
        <v>25000</v>
      </c>
      <c r="AE23" s="308">
        <f>+AC23</f>
        <v>25000</v>
      </c>
      <c r="AF23" s="308">
        <f>+'14 Cedula de Depreciaciones'!G33</f>
        <v>25000</v>
      </c>
      <c r="AG23" s="308">
        <f>+'14 Cedula de Depreciaciones'!H33</f>
        <v>25000</v>
      </c>
      <c r="AH23" s="308">
        <f>+'14 Cedula de Depreciaciones'!I33</f>
        <v>25000</v>
      </c>
      <c r="AI23" s="308">
        <f>+'14 Cedula de Depreciaciones'!J33</f>
        <v>15000</v>
      </c>
      <c r="AJ23" s="308">
        <f>+'14 Cedula de Depreciaciones'!K33</f>
        <v>15000</v>
      </c>
      <c r="AK23" s="308">
        <f>+'14 Cedula de Depreciaciones'!L33</f>
        <v>15000</v>
      </c>
      <c r="AL23" s="308">
        <f>+'14 Cedula de Depreciaciones'!M33</f>
        <v>15000</v>
      </c>
      <c r="AM23" s="313">
        <f>+'14 Cedula de Depreciaciones'!N33</f>
        <v>15000</v>
      </c>
    </row>
    <row r="24" spans="1:39" ht="13.5" thickBot="1" x14ac:dyDescent="0.25">
      <c r="A24" s="327" t="s">
        <v>373</v>
      </c>
      <c r="B24" s="326"/>
      <c r="C24" s="314"/>
      <c r="D24" s="333">
        <f>SUM(D21:D23)</f>
        <v>0</v>
      </c>
      <c r="E24" s="334">
        <f t="shared" ref="E24:O24" si="26">SUM(E21:E23)</f>
        <v>0</v>
      </c>
      <c r="F24" s="334">
        <f t="shared" si="26"/>
        <v>20763</v>
      </c>
      <c r="G24" s="334">
        <f t="shared" si="26"/>
        <v>40703</v>
      </c>
      <c r="H24" s="334">
        <f t="shared" si="26"/>
        <v>60440</v>
      </c>
      <c r="I24" s="334">
        <f t="shared" si="26"/>
        <v>39430</v>
      </c>
      <c r="J24" s="334">
        <f t="shared" si="26"/>
        <v>51355</v>
      </c>
      <c r="K24" s="334">
        <f t="shared" si="26"/>
        <v>45760</v>
      </c>
      <c r="L24" s="334">
        <f t="shared" si="26"/>
        <v>44635</v>
      </c>
      <c r="M24" s="334">
        <f t="shared" si="26"/>
        <v>52940</v>
      </c>
      <c r="N24" s="334">
        <f t="shared" si="26"/>
        <v>39715</v>
      </c>
      <c r="O24" s="334">
        <f t="shared" si="26"/>
        <v>39860</v>
      </c>
      <c r="P24" s="335">
        <f>SUM(P21:P23)</f>
        <v>435601</v>
      </c>
      <c r="Q24" s="315">
        <f t="shared" ref="Q24:AB24" si="27">SUM(Q21:Q23)</f>
        <v>58112.26666666667</v>
      </c>
      <c r="R24" s="315">
        <f t="shared" si="27"/>
        <v>48447.066666666673</v>
      </c>
      <c r="S24" s="315">
        <f t="shared" si="27"/>
        <v>51277.666666666664</v>
      </c>
      <c r="T24" s="315">
        <f t="shared" si="27"/>
        <v>68012.066666666666</v>
      </c>
      <c r="U24" s="315">
        <f t="shared" si="27"/>
        <v>71633.066666666666</v>
      </c>
      <c r="V24" s="315">
        <f t="shared" si="27"/>
        <v>55431.466666666667</v>
      </c>
      <c r="W24" s="315">
        <f t="shared" si="27"/>
        <v>68124.46666666666</v>
      </c>
      <c r="X24" s="315">
        <f t="shared" si="27"/>
        <v>62246.26666666667</v>
      </c>
      <c r="Y24" s="315">
        <f t="shared" si="27"/>
        <v>61001.26666666667</v>
      </c>
      <c r="Z24" s="315">
        <f t="shared" si="27"/>
        <v>69407.066666666666</v>
      </c>
      <c r="AA24" s="315">
        <f t="shared" si="27"/>
        <v>55366.066666666673</v>
      </c>
      <c r="AB24" s="315">
        <f t="shared" si="27"/>
        <v>55362.26666666667</v>
      </c>
      <c r="AC24" s="316">
        <f>SUM(AC21:AC23)</f>
        <v>724421</v>
      </c>
      <c r="AD24" s="317">
        <f t="shared" ref="AD24:AM24" si="28">SUM(AD21:AD23)</f>
        <v>435601</v>
      </c>
      <c r="AE24" s="317">
        <f t="shared" si="28"/>
        <v>724421</v>
      </c>
      <c r="AF24" s="317">
        <f t="shared" si="28"/>
        <v>784166.26</v>
      </c>
      <c r="AG24" s="317">
        <f t="shared" si="28"/>
        <v>807216.23560000001</v>
      </c>
      <c r="AH24" s="317">
        <f t="shared" si="28"/>
        <v>875649.20973600005</v>
      </c>
      <c r="AI24" s="317">
        <f t="shared" si="28"/>
        <v>770368.37180332805</v>
      </c>
      <c r="AJ24" s="317">
        <f t="shared" si="28"/>
        <v>784082.05364988791</v>
      </c>
      <c r="AK24" s="317">
        <f t="shared" si="28"/>
        <v>831837.99222508259</v>
      </c>
      <c r="AL24" s="317">
        <f t="shared" si="28"/>
        <v>855686.21585188643</v>
      </c>
      <c r="AM24" s="338">
        <f t="shared" si="28"/>
        <v>846679.15421277704</v>
      </c>
    </row>
    <row r="25" spans="1:39" x14ac:dyDescent="0.2">
      <c r="A25" s="89"/>
      <c r="B25" s="89"/>
      <c r="C25" s="89"/>
      <c r="D25" s="89"/>
      <c r="E25" s="89"/>
      <c r="F25" s="89"/>
      <c r="G25" s="89"/>
      <c r="H25" s="89"/>
      <c r="I25" s="89"/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  <c r="AD25" s="89"/>
      <c r="AE25" s="89"/>
      <c r="AF25" s="89"/>
      <c r="AG25" s="89"/>
      <c r="AH25" s="89"/>
      <c r="AI25" s="89"/>
      <c r="AJ25" s="89"/>
      <c r="AK25" s="89"/>
      <c r="AL25" s="89"/>
      <c r="AM25" s="89"/>
    </row>
    <row r="26" spans="1:39" ht="13.5" thickBot="1" x14ac:dyDescent="0.25">
      <c r="A26" s="89"/>
      <c r="B26" s="89"/>
      <c r="C26" s="89"/>
      <c r="D26" s="247"/>
      <c r="E26" s="247"/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247"/>
      <c r="T26" s="247"/>
      <c r="U26" s="247"/>
      <c r="V26" s="247"/>
      <c r="W26" s="247"/>
      <c r="X26" s="247"/>
      <c r="Y26" s="247"/>
      <c r="Z26" s="247"/>
      <c r="AA26" s="247"/>
      <c r="AB26" s="247"/>
      <c r="AC26" s="247"/>
      <c r="AD26" s="89"/>
      <c r="AE26" s="89"/>
      <c r="AF26" s="89"/>
      <c r="AG26" s="89"/>
      <c r="AH26" s="89"/>
      <c r="AI26" s="89"/>
      <c r="AJ26" s="89"/>
      <c r="AK26" s="89"/>
      <c r="AL26" s="89"/>
      <c r="AM26" s="89"/>
    </row>
    <row r="27" spans="1:39" ht="13.5" thickBot="1" x14ac:dyDescent="0.25">
      <c r="A27" s="89"/>
      <c r="B27" s="89"/>
      <c r="C27" s="89"/>
      <c r="D27" s="248" t="str">
        <f>IF(D3&lt;'19 Resumen'!$M$3, "No inicia", "OK")</f>
        <v>No inicia</v>
      </c>
      <c r="E27" s="249" t="str">
        <f>IF(E3&lt;'19 Resumen'!$M$3, "No inicia", "OK")</f>
        <v>No inicia</v>
      </c>
      <c r="F27" s="249" t="str">
        <f>IF(F3&lt;'19 Resumen'!$M$3, "No inicia", "OK")</f>
        <v>OK</v>
      </c>
      <c r="G27" s="249" t="str">
        <f>IF(G3&lt;'19 Resumen'!$M$3, "No inicia", "OK")</f>
        <v>OK</v>
      </c>
      <c r="H27" s="249" t="str">
        <f>IF(H3&lt;'19 Resumen'!$M$3, "No inicia", "OK")</f>
        <v>OK</v>
      </c>
      <c r="I27" s="249" t="str">
        <f>IF(I3&lt;'19 Resumen'!$M$3, "No inicia", "OK")</f>
        <v>OK</v>
      </c>
      <c r="J27" s="249" t="str">
        <f>IF(J3&lt;'19 Resumen'!$M$3, "No inicia", "OK")</f>
        <v>OK</v>
      </c>
      <c r="K27" s="249" t="str">
        <f>IF(K3&lt;'19 Resumen'!$M$3, "No inicia", "OK")</f>
        <v>OK</v>
      </c>
      <c r="L27" s="249" t="str">
        <f>IF(L3&lt;'19 Resumen'!$M$3, "No inicia", "OK")</f>
        <v>OK</v>
      </c>
      <c r="M27" s="249" t="str">
        <f>IF(M3&lt;'19 Resumen'!$M$3, "No inicia", "OK")</f>
        <v>OK</v>
      </c>
      <c r="N27" s="249" t="str">
        <f>IF(N3&lt;'19 Resumen'!$M$3, "No inicia", "OK")</f>
        <v>OK</v>
      </c>
      <c r="O27" s="250" t="str">
        <f>IF(O3&lt;'19 Resumen'!$M$3, "No inicia", "OK")</f>
        <v>OK</v>
      </c>
      <c r="P27" s="247"/>
      <c r="Q27" s="248" t="str">
        <f>IF(Q3&lt;'19 Resumen'!$M$3, "No inicia", "OK")</f>
        <v>OK</v>
      </c>
      <c r="R27" s="249" t="str">
        <f>IF(R3&lt;'19 Resumen'!$M$3, "No inicia", "OK")</f>
        <v>OK</v>
      </c>
      <c r="S27" s="249" t="str">
        <f>IF(S3&lt;'19 Resumen'!$M$3, "No inicia", "OK")</f>
        <v>OK</v>
      </c>
      <c r="T27" s="249" t="str">
        <f>IF(T3&lt;'19 Resumen'!$M$3, "No inicia", "OK")</f>
        <v>OK</v>
      </c>
      <c r="U27" s="249" t="str">
        <f>IF(U3&lt;'19 Resumen'!$M$3, "No inicia", "OK")</f>
        <v>OK</v>
      </c>
      <c r="V27" s="249" t="str">
        <f>IF(V3&lt;'19 Resumen'!$M$3, "No inicia", "OK")</f>
        <v>OK</v>
      </c>
      <c r="W27" s="249" t="str">
        <f>IF(W3&lt;'19 Resumen'!$M$3, "No inicia", "OK")</f>
        <v>OK</v>
      </c>
      <c r="X27" s="249" t="str">
        <f>IF(X3&lt;'19 Resumen'!$M$3, "No inicia", "OK")</f>
        <v>OK</v>
      </c>
      <c r="Y27" s="249" t="str">
        <f>IF(Y3&lt;'19 Resumen'!$M$3, "No inicia", "OK")</f>
        <v>OK</v>
      </c>
      <c r="Z27" s="249" t="str">
        <f>IF(Z3&lt;'19 Resumen'!$M$3, "No inicia", "OK")</f>
        <v>OK</v>
      </c>
      <c r="AA27" s="249" t="str">
        <f>IF(AA3&lt;'19 Resumen'!$M$3, "No inicia", "OK")</f>
        <v>OK</v>
      </c>
      <c r="AB27" s="250" t="str">
        <f>IF(AB3&lt;'19 Resumen'!$M$3, "No inicia", "OK")</f>
        <v>OK</v>
      </c>
      <c r="AC27" s="247"/>
      <c r="AD27" s="251">
        <f>+AD24</f>
        <v>435601</v>
      </c>
      <c r="AE27" s="318">
        <f t="shared" ref="AE27:AM27" si="29">(+AE24-AE23-AE22)/(AD24-AD23-AD22)-1</f>
        <v>0.27343544119662266</v>
      </c>
      <c r="AF27" s="318">
        <f t="shared" si="29"/>
        <v>6.0000000000000053E-2</v>
      </c>
      <c r="AG27" s="318">
        <f t="shared" si="29"/>
        <v>6.0000000000000053E-2</v>
      </c>
      <c r="AH27" s="318">
        <f t="shared" si="29"/>
        <v>6.0000000000000053E-2</v>
      </c>
      <c r="AI27" s="318">
        <f t="shared" si="29"/>
        <v>4.8000000000000043E-2</v>
      </c>
      <c r="AJ27" s="318">
        <f t="shared" si="29"/>
        <v>4.8000000000000265E-2</v>
      </c>
      <c r="AK27" s="318">
        <f t="shared" si="29"/>
        <v>4.8000000000000043E-2</v>
      </c>
      <c r="AL27" s="318">
        <f t="shared" si="29"/>
        <v>4.7999999999999821E-2</v>
      </c>
      <c r="AM27" s="319">
        <f t="shared" si="29"/>
        <v>4.8000000000000043E-2</v>
      </c>
    </row>
    <row r="28" spans="1:39" ht="15" x14ac:dyDescent="0.3">
      <c r="A28" s="89"/>
      <c r="B28" s="89"/>
      <c r="C28" s="89"/>
      <c r="D28" s="247"/>
      <c r="E28" s="247"/>
      <c r="F28" s="247"/>
      <c r="G28" s="247"/>
      <c r="H28" s="247"/>
      <c r="I28" s="247"/>
      <c r="J28" s="247"/>
      <c r="K28" s="247"/>
      <c r="L28" s="247"/>
      <c r="M28" s="247"/>
      <c r="N28" s="247"/>
      <c r="O28" s="247"/>
      <c r="P28" s="247"/>
      <c r="Q28" s="247"/>
      <c r="R28" s="247"/>
      <c r="S28" s="247"/>
      <c r="T28" s="247"/>
      <c r="U28" s="247"/>
      <c r="V28" s="247"/>
      <c r="W28" s="247"/>
      <c r="X28" s="247"/>
      <c r="Y28" s="247"/>
      <c r="Z28" s="247"/>
      <c r="AA28" s="247"/>
      <c r="AB28" s="247"/>
      <c r="AC28" s="247"/>
      <c r="AD28" s="28"/>
      <c r="AE28" s="28"/>
      <c r="AF28" s="28"/>
      <c r="AG28" s="28"/>
      <c r="AH28" s="28"/>
      <c r="AI28" s="28"/>
      <c r="AJ28" s="28"/>
      <c r="AK28" s="28"/>
      <c r="AL28" s="28"/>
      <c r="AM28" s="28"/>
    </row>
    <row r="29" spans="1:39" ht="15" x14ac:dyDescent="0.3">
      <c r="A29" s="89"/>
      <c r="B29" s="89"/>
      <c r="C29" s="89"/>
      <c r="D29" s="193"/>
      <c r="E29" s="89"/>
      <c r="F29" s="89"/>
      <c r="G29" s="89"/>
      <c r="H29" s="89"/>
      <c r="I29" s="89"/>
      <c r="J29" s="89"/>
      <c r="K29" s="89"/>
      <c r="L29" s="89"/>
      <c r="M29" s="89"/>
      <c r="N29" s="89"/>
      <c r="O29" s="89">
        <f>SUM(D21:O21)</f>
        <v>284601</v>
      </c>
      <c r="P29" s="89">
        <f>+P21-O29</f>
        <v>0</v>
      </c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>
        <f>SUM(Q21:AB21)</f>
        <v>362421</v>
      </c>
      <c r="AC29" s="89">
        <f>+AC21-AB29</f>
        <v>0</v>
      </c>
      <c r="AD29" s="28"/>
      <c r="AE29" s="28"/>
      <c r="AF29" s="28"/>
      <c r="AG29" s="28"/>
      <c r="AH29" s="28"/>
      <c r="AI29" s="28"/>
      <c r="AJ29" s="28"/>
      <c r="AK29" s="28"/>
      <c r="AL29" s="28"/>
      <c r="AM29" s="28"/>
    </row>
    <row r="30" spans="1:39" x14ac:dyDescent="0.2">
      <c r="A30" s="89"/>
      <c r="B30" s="89"/>
      <c r="C30" s="89"/>
      <c r="D30" s="193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89">
        <f>SUM(D24:O24)</f>
        <v>435601</v>
      </c>
      <c r="P30" s="89">
        <f>+P24-O30</f>
        <v>0</v>
      </c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>
        <f>SUM(Q24:AB24)</f>
        <v>724421</v>
      </c>
      <c r="AC30" s="89">
        <f>+AC24-AB30</f>
        <v>0</v>
      </c>
      <c r="AD30" s="89"/>
      <c r="AE30" s="89"/>
      <c r="AF30" s="89"/>
      <c r="AG30" s="89"/>
      <c r="AH30" s="89"/>
      <c r="AI30" s="89"/>
      <c r="AJ30" s="89"/>
      <c r="AK30" s="89"/>
      <c r="AL30" s="89"/>
      <c r="AM30" s="89"/>
    </row>
    <row r="31" spans="1:39" ht="15" x14ac:dyDescent="0.3">
      <c r="A31"/>
      <c r="B31"/>
      <c r="C31" s="89"/>
      <c r="D31" s="89"/>
      <c r="E31" s="89"/>
      <c r="F31" s="89"/>
      <c r="G31" s="89"/>
      <c r="H31" s="89"/>
      <c r="I31" s="89"/>
      <c r="J31" s="89"/>
      <c r="K31" s="89"/>
      <c r="L31" s="89"/>
      <c r="M31" s="89"/>
      <c r="N31" s="89"/>
      <c r="O31" s="89"/>
      <c r="P31" s="89"/>
      <c r="Q31" s="89"/>
      <c r="R31" s="89"/>
      <c r="S31" s="89"/>
      <c r="T31" s="89"/>
      <c r="U31" s="89"/>
      <c r="V31" s="89"/>
      <c r="W31" s="89"/>
      <c r="X31" s="89"/>
      <c r="Y31" s="89"/>
      <c r="Z31" s="89"/>
      <c r="AA31" s="89"/>
      <c r="AB31" s="89"/>
      <c r="AC31" s="89"/>
      <c r="AD31" s="89"/>
      <c r="AE31" s="89"/>
      <c r="AF31" s="28"/>
      <c r="AG31" s="89"/>
      <c r="AH31" s="89"/>
      <c r="AI31" s="89"/>
      <c r="AJ31" s="89"/>
      <c r="AK31" s="89"/>
      <c r="AL31" s="89"/>
      <c r="AM31" s="89"/>
    </row>
    <row r="32" spans="1:39" ht="15" x14ac:dyDescent="0.3">
      <c r="A32"/>
      <c r="B32"/>
      <c r="C32" s="89"/>
      <c r="D32" s="89"/>
      <c r="E32" s="89"/>
      <c r="F32" s="89"/>
      <c r="G32" s="89"/>
      <c r="H32" s="89"/>
      <c r="I32" s="89"/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  <c r="AD32" s="89"/>
      <c r="AE32" s="89"/>
      <c r="AF32" s="89"/>
      <c r="AG32" s="89"/>
      <c r="AH32" s="89"/>
      <c r="AI32" s="89"/>
      <c r="AJ32" s="89"/>
      <c r="AK32" s="89"/>
      <c r="AL32" s="89"/>
      <c r="AM32" s="89"/>
    </row>
    <row r="33" spans="1:39" ht="15" x14ac:dyDescent="0.3">
      <c r="A33"/>
      <c r="B33"/>
      <c r="C33" s="89"/>
      <c r="D33" s="89"/>
      <c r="E33" s="89"/>
      <c r="F33" s="89"/>
      <c r="G33" s="89"/>
      <c r="H33" s="89"/>
      <c r="I33" s="89"/>
      <c r="J33" s="89"/>
      <c r="K33" s="89"/>
      <c r="L33" s="89"/>
      <c r="M33" s="89"/>
      <c r="N33" s="89"/>
      <c r="O33" s="89"/>
      <c r="P33" s="89"/>
      <c r="Q33" s="89"/>
      <c r="R33" s="89"/>
      <c r="S33" s="89"/>
      <c r="T33" s="89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89"/>
      <c r="AG33" s="89"/>
      <c r="AH33" s="89"/>
      <c r="AI33" s="89"/>
      <c r="AJ33" s="89"/>
      <c r="AK33" s="89"/>
      <c r="AL33" s="89"/>
      <c r="AM33" s="89"/>
    </row>
    <row r="34" spans="1:39" ht="15" x14ac:dyDescent="0.3">
      <c r="A34"/>
      <c r="B34"/>
      <c r="C34" s="89"/>
      <c r="D34" s="89"/>
      <c r="E34" s="89"/>
      <c r="F34" s="89"/>
      <c r="G34" s="89"/>
      <c r="H34" s="89"/>
      <c r="I34" s="89"/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89"/>
      <c r="AC34" s="89"/>
      <c r="AD34" s="89"/>
      <c r="AE34" s="89"/>
      <c r="AF34" s="89"/>
      <c r="AG34" s="89"/>
      <c r="AH34" s="89"/>
      <c r="AI34" s="89"/>
      <c r="AJ34" s="89"/>
      <c r="AK34" s="89"/>
      <c r="AL34" s="89"/>
      <c r="AM34" s="89"/>
    </row>
    <row r="35" spans="1:39" ht="15" x14ac:dyDescent="0.3">
      <c r="A35"/>
      <c r="B35"/>
      <c r="C35" s="89"/>
      <c r="D35" s="89"/>
      <c r="E35" s="89"/>
      <c r="F35" s="89"/>
      <c r="G35" s="89"/>
      <c r="H35" s="89"/>
      <c r="I35" s="89"/>
      <c r="J35" s="89"/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89"/>
      <c r="AB35" s="89"/>
      <c r="AC35" s="89"/>
      <c r="AD35" s="89"/>
      <c r="AE35" s="89"/>
      <c r="AF35" s="89"/>
      <c r="AG35" s="89"/>
      <c r="AH35" s="89"/>
      <c r="AI35" s="89"/>
      <c r="AJ35" s="89"/>
      <c r="AK35" s="89"/>
      <c r="AL35" s="89"/>
      <c r="AM35" s="89"/>
    </row>
    <row r="36" spans="1:39" ht="15" x14ac:dyDescent="0.3">
      <c r="A36"/>
      <c r="B36"/>
      <c r="C36" s="89"/>
      <c r="D36" s="89"/>
      <c r="E36" s="89"/>
      <c r="F36" s="89"/>
      <c r="G36" s="89"/>
      <c r="H36" s="89"/>
      <c r="I36" s="89"/>
      <c r="J36" s="89"/>
      <c r="K36" s="89"/>
      <c r="L36" s="89"/>
      <c r="M36" s="89"/>
      <c r="N36" s="89"/>
      <c r="O36" s="89"/>
      <c r="P36" s="89"/>
      <c r="Q36" s="89"/>
      <c r="R36" s="89"/>
      <c r="S36" s="89"/>
      <c r="T36" s="89"/>
      <c r="U36" s="89"/>
      <c r="V36" s="89"/>
      <c r="W36" s="89"/>
      <c r="X36" s="89"/>
      <c r="Y36" s="89"/>
      <c r="Z36" s="89"/>
      <c r="AA36" s="89"/>
      <c r="AB36" s="89"/>
      <c r="AC36" s="89"/>
      <c r="AD36" s="89"/>
      <c r="AE36" s="89"/>
      <c r="AF36" s="89"/>
      <c r="AG36" s="89"/>
      <c r="AH36" s="89"/>
      <c r="AI36" s="89"/>
      <c r="AJ36" s="89"/>
      <c r="AK36" s="89"/>
      <c r="AL36" s="89"/>
      <c r="AM36" s="89"/>
    </row>
    <row r="37" spans="1:39" ht="15" x14ac:dyDescent="0.3">
      <c r="A37"/>
      <c r="B37"/>
      <c r="C37" s="89"/>
      <c r="D37" s="89"/>
      <c r="E37" s="89"/>
      <c r="F37" s="89"/>
      <c r="G37" s="89"/>
      <c r="H37" s="89"/>
      <c r="I37" s="89"/>
      <c r="J37" s="89"/>
      <c r="K37" s="89"/>
      <c r="L37" s="89"/>
      <c r="M37" s="89"/>
      <c r="N37" s="89"/>
      <c r="O37" s="89"/>
      <c r="P37" s="89"/>
      <c r="Q37" s="89"/>
      <c r="R37" s="89"/>
      <c r="S37" s="89"/>
      <c r="T37" s="89"/>
      <c r="U37" s="89"/>
      <c r="V37" s="89"/>
      <c r="W37" s="89"/>
      <c r="X37" s="89"/>
      <c r="Y37" s="89"/>
      <c r="Z37" s="89"/>
      <c r="AA37" s="89"/>
      <c r="AB37" s="89"/>
      <c r="AC37" s="89"/>
      <c r="AD37" s="89"/>
      <c r="AE37" s="89"/>
      <c r="AF37" s="89"/>
      <c r="AG37" s="89"/>
      <c r="AH37" s="89"/>
      <c r="AI37" s="89"/>
      <c r="AJ37" s="89"/>
      <c r="AK37" s="89"/>
      <c r="AL37" s="89"/>
      <c r="AM37" s="89"/>
    </row>
    <row r="38" spans="1:39" ht="15" x14ac:dyDescent="0.3">
      <c r="A38"/>
      <c r="B38"/>
      <c r="C38" s="89"/>
      <c r="D38" s="89"/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</row>
    <row r="39" spans="1:39" ht="15" x14ac:dyDescent="0.3">
      <c r="A39"/>
      <c r="B39"/>
      <c r="C39" s="89"/>
      <c r="D39" s="89">
        <f t="shared" ref="D39:O39" si="30">+D3</f>
        <v>1</v>
      </c>
      <c r="E39" s="89">
        <f t="shared" si="30"/>
        <v>2</v>
      </c>
      <c r="F39" s="89">
        <f t="shared" si="30"/>
        <v>3</v>
      </c>
      <c r="G39" s="89">
        <f t="shared" si="30"/>
        <v>4</v>
      </c>
      <c r="H39" s="89">
        <f t="shared" si="30"/>
        <v>5</v>
      </c>
      <c r="I39" s="89">
        <f t="shared" si="30"/>
        <v>6</v>
      </c>
      <c r="J39" s="89">
        <f t="shared" si="30"/>
        <v>7</v>
      </c>
      <c r="K39" s="89">
        <f t="shared" si="30"/>
        <v>8</v>
      </c>
      <c r="L39" s="89">
        <f t="shared" si="30"/>
        <v>9</v>
      </c>
      <c r="M39" s="89">
        <f t="shared" si="30"/>
        <v>10</v>
      </c>
      <c r="N39" s="89">
        <f t="shared" si="30"/>
        <v>11</v>
      </c>
      <c r="O39" s="89">
        <f t="shared" si="30"/>
        <v>12</v>
      </c>
      <c r="P39" s="89"/>
      <c r="Q39" s="89">
        <f t="shared" ref="Q39:AB39" si="31">+Q3</f>
        <v>13</v>
      </c>
      <c r="R39" s="89">
        <f t="shared" si="31"/>
        <v>14</v>
      </c>
      <c r="S39" s="89">
        <f t="shared" si="31"/>
        <v>15</v>
      </c>
      <c r="T39" s="89">
        <f t="shared" si="31"/>
        <v>16</v>
      </c>
      <c r="U39" s="89">
        <f t="shared" si="31"/>
        <v>17</v>
      </c>
      <c r="V39" s="89">
        <f t="shared" si="31"/>
        <v>18</v>
      </c>
      <c r="W39" s="89">
        <f t="shared" si="31"/>
        <v>19</v>
      </c>
      <c r="X39" s="89">
        <f t="shared" si="31"/>
        <v>20</v>
      </c>
      <c r="Y39" s="89">
        <f t="shared" si="31"/>
        <v>21</v>
      </c>
      <c r="Z39" s="89">
        <f t="shared" si="31"/>
        <v>22</v>
      </c>
      <c r="AA39" s="89">
        <f t="shared" si="31"/>
        <v>23</v>
      </c>
      <c r="AB39" s="89">
        <f t="shared" si="31"/>
        <v>24</v>
      </c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</row>
    <row r="40" spans="1:39" ht="15" x14ac:dyDescent="0.3">
      <c r="A40"/>
      <c r="B40"/>
      <c r="C40" s="89"/>
      <c r="D40" s="89">
        <f>+'19 Resumen'!$M$3</f>
        <v>3</v>
      </c>
      <c r="E40" s="89">
        <f>+'19 Resumen'!$M$3</f>
        <v>3</v>
      </c>
      <c r="F40" s="89">
        <f>+'19 Resumen'!$M$3</f>
        <v>3</v>
      </c>
      <c r="G40" s="89">
        <f>+'19 Resumen'!$M$3</f>
        <v>3</v>
      </c>
      <c r="H40" s="89">
        <f>+'19 Resumen'!$M$3</f>
        <v>3</v>
      </c>
      <c r="I40" s="89">
        <f>+'19 Resumen'!$M$3</f>
        <v>3</v>
      </c>
      <c r="J40" s="89">
        <f>+'19 Resumen'!$M$3</f>
        <v>3</v>
      </c>
      <c r="K40" s="89">
        <f>+'19 Resumen'!$M$3</f>
        <v>3</v>
      </c>
      <c r="L40" s="89">
        <f>+'19 Resumen'!$M$3</f>
        <v>3</v>
      </c>
      <c r="M40" s="89">
        <f>+'19 Resumen'!$M$3</f>
        <v>3</v>
      </c>
      <c r="N40" s="89">
        <f>+'19 Resumen'!$M$3</f>
        <v>3</v>
      </c>
      <c r="O40" s="89">
        <f>+'19 Resumen'!$M$3</f>
        <v>3</v>
      </c>
      <c r="P40" s="89"/>
      <c r="Q40" s="89">
        <f>+'19 Resumen'!$M$3</f>
        <v>3</v>
      </c>
      <c r="R40" s="89">
        <f>+'19 Resumen'!$M$3</f>
        <v>3</v>
      </c>
      <c r="S40" s="89">
        <f>+'19 Resumen'!$M$3</f>
        <v>3</v>
      </c>
      <c r="T40" s="89">
        <f>+'19 Resumen'!$M$3</f>
        <v>3</v>
      </c>
      <c r="U40" s="89">
        <f>+'19 Resumen'!$M$3</f>
        <v>3</v>
      </c>
      <c r="V40" s="89">
        <f>+'19 Resumen'!$M$3</f>
        <v>3</v>
      </c>
      <c r="W40" s="89">
        <f>+'19 Resumen'!$M$3</f>
        <v>3</v>
      </c>
      <c r="X40" s="89">
        <f>+'19 Resumen'!$M$3</f>
        <v>3</v>
      </c>
      <c r="Y40" s="89">
        <f>+'19 Resumen'!$M$3</f>
        <v>3</v>
      </c>
      <c r="Z40" s="89">
        <f>+'19 Resumen'!$M$3</f>
        <v>3</v>
      </c>
      <c r="AA40" s="89">
        <f>+'19 Resumen'!$M$3</f>
        <v>3</v>
      </c>
      <c r="AB40" s="89">
        <f>+'19 Resumen'!$M$3</f>
        <v>3</v>
      </c>
      <c r="AC40" s="89"/>
      <c r="AD40" s="89"/>
      <c r="AE40" s="89"/>
      <c r="AF40" s="89"/>
      <c r="AG40" s="89"/>
      <c r="AH40" s="89"/>
      <c r="AI40" s="89"/>
      <c r="AJ40" s="89"/>
      <c r="AK40" s="89"/>
      <c r="AL40" s="89"/>
      <c r="AM40" s="89"/>
    </row>
    <row r="41" spans="1:39" ht="15" x14ac:dyDescent="0.3">
      <c r="A41"/>
      <c r="B41"/>
      <c r="C41" s="89"/>
      <c r="D41" s="89">
        <f t="shared" ref="D41:I41" si="32">IF(D40&gt;D39,0,1)</f>
        <v>0</v>
      </c>
      <c r="E41" s="89">
        <f t="shared" si="32"/>
        <v>0</v>
      </c>
      <c r="F41" s="89">
        <f t="shared" si="32"/>
        <v>1</v>
      </c>
      <c r="G41" s="89">
        <f t="shared" si="32"/>
        <v>1</v>
      </c>
      <c r="H41" s="89">
        <f t="shared" si="32"/>
        <v>1</v>
      </c>
      <c r="I41" s="89">
        <f t="shared" si="32"/>
        <v>1</v>
      </c>
      <c r="J41" s="89">
        <f t="shared" ref="J41:O41" si="33">IF(J40&gt;J39,0,1)</f>
        <v>1</v>
      </c>
      <c r="K41" s="89">
        <f t="shared" si="33"/>
        <v>1</v>
      </c>
      <c r="L41" s="89">
        <f t="shared" si="33"/>
        <v>1</v>
      </c>
      <c r="M41" s="89">
        <f t="shared" si="33"/>
        <v>1</v>
      </c>
      <c r="N41" s="89">
        <f t="shared" si="33"/>
        <v>1</v>
      </c>
      <c r="O41" s="89">
        <f t="shared" si="33"/>
        <v>1</v>
      </c>
      <c r="P41" s="89">
        <f>SUM(D41:O41)</f>
        <v>10</v>
      </c>
      <c r="Q41" s="89">
        <f>IF(Q40&gt;=Q39,0,1)</f>
        <v>1</v>
      </c>
      <c r="R41" s="89">
        <f t="shared" ref="R41:AB41" si="34">IF(R40&gt;=R39,0,1)</f>
        <v>1</v>
      </c>
      <c r="S41" s="89">
        <f t="shared" si="34"/>
        <v>1</v>
      </c>
      <c r="T41" s="89">
        <f t="shared" si="34"/>
        <v>1</v>
      </c>
      <c r="U41" s="89">
        <f t="shared" si="34"/>
        <v>1</v>
      </c>
      <c r="V41" s="89">
        <f t="shared" si="34"/>
        <v>1</v>
      </c>
      <c r="W41" s="89">
        <f t="shared" si="34"/>
        <v>1</v>
      </c>
      <c r="X41" s="89">
        <f t="shared" si="34"/>
        <v>1</v>
      </c>
      <c r="Y41" s="89">
        <f t="shared" si="34"/>
        <v>1</v>
      </c>
      <c r="Z41" s="89">
        <f t="shared" si="34"/>
        <v>1</v>
      </c>
      <c r="AA41" s="89">
        <f t="shared" si="34"/>
        <v>1</v>
      </c>
      <c r="AB41" s="89">
        <f t="shared" si="34"/>
        <v>1</v>
      </c>
      <c r="AC41" s="89">
        <f>SUM(Q41:AB41)</f>
        <v>12</v>
      </c>
      <c r="AD41" s="89"/>
      <c r="AE41" s="89"/>
      <c r="AF41" s="89"/>
      <c r="AG41" s="89"/>
      <c r="AH41" s="89"/>
      <c r="AI41" s="89"/>
      <c r="AJ41" s="89"/>
      <c r="AK41" s="89"/>
      <c r="AL41" s="89"/>
      <c r="AM41" s="89"/>
    </row>
    <row r="42" spans="1:39" ht="15" x14ac:dyDescent="0.3">
      <c r="A42"/>
      <c r="B42"/>
      <c r="D42"/>
    </row>
    <row r="43" spans="1:39" ht="15" x14ac:dyDescent="0.3">
      <c r="A43"/>
      <c r="B43"/>
    </row>
    <row r="44" spans="1:39" ht="15" x14ac:dyDescent="0.3">
      <c r="A44"/>
      <c r="B44"/>
    </row>
    <row r="45" spans="1:39" ht="15" x14ac:dyDescent="0.3">
      <c r="A45"/>
      <c r="B45"/>
    </row>
    <row r="46" spans="1:39" ht="15" x14ac:dyDescent="0.3">
      <c r="A46"/>
      <c r="B46"/>
    </row>
    <row r="47" spans="1:39" ht="15" x14ac:dyDescent="0.3">
      <c r="A47"/>
      <c r="B47"/>
    </row>
    <row r="48" spans="1:39" ht="15" x14ac:dyDescent="0.3">
      <c r="A48"/>
      <c r="B48"/>
    </row>
    <row r="49" spans="1:2" ht="15" x14ac:dyDescent="0.3">
      <c r="A49"/>
      <c r="B49"/>
    </row>
  </sheetData>
  <customSheetViews>
    <customSheetView guid="{8FC2DB0D-4D0A-11D3-9924-0080ADC9B26E}" scale="50" fitToPage="1" hiddenRows="1" showRuler="0" topLeftCell="M1">
      <selection activeCell="Q39" sqref="Q39"/>
      <pageMargins left="0.98425196850393704" right="0.98425196850393704" top="0.98425196850393704" bottom="0.98425196850393704" header="0" footer="0"/>
      <printOptions horizontalCentered="1" verticalCentered="1"/>
      <pageSetup scale="58" orientation="landscape" blackAndWhite="1" horizontalDpi="300" verticalDpi="360" r:id="rId1"/>
      <headerFooter alignWithMargins="0">
        <oddFooter>&amp;L&amp;D&amp;R&amp;8Proyectos Especiales
SPDy GP</oddFooter>
      </headerFooter>
    </customSheetView>
  </customSheetViews>
  <mergeCells count="24">
    <mergeCell ref="A4:A6"/>
    <mergeCell ref="B4:B6"/>
    <mergeCell ref="C4:C6"/>
    <mergeCell ref="A1:C1"/>
    <mergeCell ref="A2:C2"/>
    <mergeCell ref="K1:M1"/>
    <mergeCell ref="AK1:AM1"/>
    <mergeCell ref="D2:P2"/>
    <mergeCell ref="Q2:AC2"/>
    <mergeCell ref="AD2:AM2"/>
    <mergeCell ref="X1:Z1"/>
    <mergeCell ref="AH1:AJ1"/>
    <mergeCell ref="D1:J1"/>
    <mergeCell ref="N1:P1"/>
    <mergeCell ref="Q1:W1"/>
    <mergeCell ref="AD1:AG1"/>
    <mergeCell ref="AA1:AC1"/>
    <mergeCell ref="D5:O5"/>
    <mergeCell ref="P5:P6"/>
    <mergeCell ref="Q5:AB5"/>
    <mergeCell ref="AC5:AC6"/>
    <mergeCell ref="AD4:AM4"/>
    <mergeCell ref="D4:P4"/>
    <mergeCell ref="Q4:AC4"/>
  </mergeCells>
  <phoneticPr fontId="20" type="noConversion"/>
  <pageMargins left="0.39370078740157483" right="0.39370078740157483" top="0.78740157480314965" bottom="0.59055118110236227" header="0.39370078740157483" footer="0.39370078740157483"/>
  <pageSetup scale="46" fitToWidth="3" orientation="landscape" blackAndWhite="1" horizontalDpi="4294967293" verticalDpi="4294967293" r:id="rId2"/>
  <headerFooter alignWithMargins="0">
    <oddHeader>&amp;C&amp;"Arial,Negrita"&amp;7Estudio de Factibilidad para el establecimiento de un mercado de mariscos en Hermosillo, Sonora</oddHeader>
    <oddFooter>&amp;L&amp;"Arial,Normal"&amp;7&amp;F - Hoja: &amp;A&amp;C&amp;"Arial,Normal"&amp;7&amp;D&amp;R&amp;"Arial,Normal"&amp;7&amp;P de  &amp;N</oddFooter>
  </headerFooter>
  <colBreaks count="2" manualBreakCount="2">
    <brk id="16" min="2" max="39" man="1"/>
    <brk id="29" min="2" max="39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00B050"/>
  </sheetPr>
  <dimension ref="A1:BC57"/>
  <sheetViews>
    <sheetView view="pageBreakPreview" zoomScale="60" zoomScaleNormal="60" workbookViewId="0">
      <selection activeCell="B11" sqref="B11"/>
    </sheetView>
  </sheetViews>
  <sheetFormatPr baseColWidth="10" defaultColWidth="9" defaultRowHeight="12.75" x14ac:dyDescent="0.2"/>
  <cols>
    <col min="1" max="1" width="20.25" style="1" customWidth="1"/>
    <col min="2" max="2" width="12.625" style="1" customWidth="1"/>
    <col min="3" max="15" width="14" style="1" customWidth="1"/>
    <col min="16" max="28" width="14.5" style="1" customWidth="1"/>
    <col min="29" max="38" width="15.25" style="1" customWidth="1"/>
    <col min="39" max="16384" width="9" style="1"/>
  </cols>
  <sheetData>
    <row r="1" spans="1:55" ht="21.6" customHeight="1" x14ac:dyDescent="0.3">
      <c r="A1" s="1898" t="s">
        <v>378</v>
      </c>
      <c r="B1" s="1899"/>
      <c r="C1" s="1880" t="str">
        <f>+'19 Resumen'!D4</f>
        <v>La Lasaña de Garfield</v>
      </c>
      <c r="D1" s="1881"/>
      <c r="E1" s="1881"/>
      <c r="F1" s="1881"/>
      <c r="G1" s="1881"/>
      <c r="H1" s="1881"/>
      <c r="I1" s="1881"/>
      <c r="J1" s="1881" t="str">
        <f>+'19 Resumen'!D5</f>
        <v>Martin Delgado</v>
      </c>
      <c r="K1" s="1881"/>
      <c r="L1" s="1881"/>
      <c r="M1" s="1881" t="str">
        <f>+'19 Resumen'!D6</f>
        <v>Grupo Delgado´s</v>
      </c>
      <c r="N1" s="1881"/>
      <c r="O1" s="1882"/>
      <c r="P1" s="1880" t="str">
        <f>+C1</f>
        <v>La Lasaña de Garfield</v>
      </c>
      <c r="Q1" s="1881"/>
      <c r="R1" s="1881"/>
      <c r="S1" s="1881"/>
      <c r="T1" s="1881"/>
      <c r="U1" s="1881"/>
      <c r="V1" s="1881"/>
      <c r="W1" s="1881" t="str">
        <f>+J1</f>
        <v>Martin Delgado</v>
      </c>
      <c r="X1" s="1881"/>
      <c r="Y1" s="1881"/>
      <c r="Z1" s="1881" t="str">
        <f>+M1</f>
        <v>Grupo Delgado´s</v>
      </c>
      <c r="AA1" s="1881"/>
      <c r="AB1" s="1882"/>
      <c r="AC1" s="1897" t="str">
        <f>+P1</f>
        <v>La Lasaña de Garfield</v>
      </c>
      <c r="AD1" s="1875"/>
      <c r="AE1" s="1875"/>
      <c r="AF1" s="1875"/>
      <c r="AG1" s="1875" t="str">
        <f>+W1</f>
        <v>Martin Delgado</v>
      </c>
      <c r="AH1" s="1875"/>
      <c r="AI1" s="1875"/>
      <c r="AJ1" s="1875" t="str">
        <f>+Z1</f>
        <v>Grupo Delgado´s</v>
      </c>
      <c r="AK1" s="1875"/>
      <c r="AL1" s="187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</row>
    <row r="2" spans="1:55" ht="21.6" customHeight="1" thickBot="1" x14ac:dyDescent="0.35">
      <c r="A2" s="1900">
        <f>+'19 Resumen'!D2</f>
        <v>42747</v>
      </c>
      <c r="B2" s="1901"/>
      <c r="C2" s="1883" t="s">
        <v>240</v>
      </c>
      <c r="D2" s="1884"/>
      <c r="E2" s="1884"/>
      <c r="F2" s="1884"/>
      <c r="G2" s="1884"/>
      <c r="H2" s="1884"/>
      <c r="I2" s="1884"/>
      <c r="J2" s="1884"/>
      <c r="K2" s="1884"/>
      <c r="L2" s="1884"/>
      <c r="M2" s="1884"/>
      <c r="N2" s="1884"/>
      <c r="O2" s="1885"/>
      <c r="P2" s="1883" t="s">
        <v>77</v>
      </c>
      <c r="Q2" s="1884"/>
      <c r="R2" s="1884"/>
      <c r="S2" s="1884"/>
      <c r="T2" s="1884"/>
      <c r="U2" s="1884"/>
      <c r="V2" s="1884"/>
      <c r="W2" s="1884"/>
      <c r="X2" s="1884"/>
      <c r="Y2" s="1884"/>
      <c r="Z2" s="1884"/>
      <c r="AA2" s="1884"/>
      <c r="AB2" s="1885"/>
      <c r="AC2" s="1877" t="str">
        <f>+P2</f>
        <v>Requerimiento y costos de materias primas</v>
      </c>
      <c r="AD2" s="1878"/>
      <c r="AE2" s="1878"/>
      <c r="AF2" s="1878"/>
      <c r="AG2" s="1878"/>
      <c r="AH2" s="1878"/>
      <c r="AI2" s="1878"/>
      <c r="AJ2" s="1878"/>
      <c r="AK2" s="1878"/>
      <c r="AL2" s="1879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</row>
    <row r="3" spans="1:55" ht="21.6" hidden="1" customHeight="1" thickBot="1" x14ac:dyDescent="0.35">
      <c r="A3" s="258"/>
      <c r="B3" s="705"/>
      <c r="C3" s="197">
        <v>1</v>
      </c>
      <c r="D3" s="198">
        <f t="shared" ref="D3:N3" si="0">+C3+1</f>
        <v>2</v>
      </c>
      <c r="E3" s="198">
        <f t="shared" si="0"/>
        <v>3</v>
      </c>
      <c r="F3" s="198">
        <f t="shared" si="0"/>
        <v>4</v>
      </c>
      <c r="G3" s="198">
        <f t="shared" si="0"/>
        <v>5</v>
      </c>
      <c r="H3" s="198">
        <f t="shared" si="0"/>
        <v>6</v>
      </c>
      <c r="I3" s="198">
        <f t="shared" si="0"/>
        <v>7</v>
      </c>
      <c r="J3" s="198">
        <f t="shared" si="0"/>
        <v>8</v>
      </c>
      <c r="K3" s="198">
        <f t="shared" si="0"/>
        <v>9</v>
      </c>
      <c r="L3" s="198">
        <f t="shared" si="0"/>
        <v>10</v>
      </c>
      <c r="M3" s="198">
        <f t="shared" si="0"/>
        <v>11</v>
      </c>
      <c r="N3" s="198">
        <f t="shared" si="0"/>
        <v>12</v>
      </c>
      <c r="O3" s="199"/>
      <c r="P3" s="200">
        <f>+N3+1</f>
        <v>13</v>
      </c>
      <c r="Q3" s="198">
        <f t="shared" ref="Q3:AA3" si="1">+P3+1</f>
        <v>14</v>
      </c>
      <c r="R3" s="198">
        <f t="shared" si="1"/>
        <v>15</v>
      </c>
      <c r="S3" s="198">
        <f t="shared" si="1"/>
        <v>16</v>
      </c>
      <c r="T3" s="198">
        <f t="shared" si="1"/>
        <v>17</v>
      </c>
      <c r="U3" s="198">
        <f t="shared" si="1"/>
        <v>18</v>
      </c>
      <c r="V3" s="198">
        <f t="shared" si="1"/>
        <v>19</v>
      </c>
      <c r="W3" s="198">
        <f t="shared" si="1"/>
        <v>20</v>
      </c>
      <c r="X3" s="198">
        <f t="shared" si="1"/>
        <v>21</v>
      </c>
      <c r="Y3" s="198">
        <f t="shared" si="1"/>
        <v>22</v>
      </c>
      <c r="Z3" s="198">
        <f t="shared" si="1"/>
        <v>23</v>
      </c>
      <c r="AA3" s="198">
        <f t="shared" si="1"/>
        <v>24</v>
      </c>
      <c r="AB3" s="199"/>
      <c r="AC3" s="200"/>
      <c r="AD3" s="259"/>
      <c r="AE3" s="259"/>
      <c r="AF3" s="259"/>
      <c r="AG3" s="259"/>
      <c r="AH3" s="259"/>
      <c r="AI3" s="259"/>
      <c r="AJ3" s="259"/>
      <c r="AK3" s="259"/>
      <c r="AL3" s="199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</row>
    <row r="4" spans="1:55" ht="21.6" customHeight="1" thickBot="1" x14ac:dyDescent="0.35">
      <c r="A4" s="1886" t="s">
        <v>246</v>
      </c>
      <c r="B4" s="1894" t="s">
        <v>656</v>
      </c>
      <c r="C4" s="1892" t="s">
        <v>632</v>
      </c>
      <c r="D4" s="1892"/>
      <c r="E4" s="1892"/>
      <c r="F4" s="1892"/>
      <c r="G4" s="1892"/>
      <c r="H4" s="1892"/>
      <c r="I4" s="1892"/>
      <c r="J4" s="1892"/>
      <c r="K4" s="1892"/>
      <c r="L4" s="1892"/>
      <c r="M4" s="1892"/>
      <c r="N4" s="1892"/>
      <c r="O4" s="1893"/>
      <c r="P4" s="1599" t="s">
        <v>78</v>
      </c>
      <c r="Q4" s="1599"/>
      <c r="R4" s="1599"/>
      <c r="S4" s="1599"/>
      <c r="T4" s="1599"/>
      <c r="U4" s="1599"/>
      <c r="V4" s="1599"/>
      <c r="W4" s="1599"/>
      <c r="X4" s="1599"/>
      <c r="Y4" s="1599"/>
      <c r="Z4" s="1599"/>
      <c r="AA4" s="1599"/>
      <c r="AB4" s="1600"/>
      <c r="AC4" s="1598" t="str">
        <f>+P4</f>
        <v>Requerimientos</v>
      </c>
      <c r="AD4" s="1599"/>
      <c r="AE4" s="1599"/>
      <c r="AF4" s="1599"/>
      <c r="AG4" s="1599"/>
      <c r="AH4" s="1599"/>
      <c r="AI4" s="1599"/>
      <c r="AJ4" s="1599"/>
      <c r="AK4" s="1599"/>
      <c r="AL4" s="1600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</row>
    <row r="5" spans="1:55" ht="21.6" customHeight="1" x14ac:dyDescent="0.3">
      <c r="A5" s="1887"/>
      <c r="B5" s="1895"/>
      <c r="C5" s="1891">
        <f>+AC6</f>
        <v>2017</v>
      </c>
      <c r="D5" s="1890"/>
      <c r="E5" s="1890"/>
      <c r="F5" s="1890"/>
      <c r="G5" s="1890"/>
      <c r="H5" s="1890"/>
      <c r="I5" s="1890"/>
      <c r="J5" s="1890"/>
      <c r="K5" s="1890"/>
      <c r="L5" s="1890"/>
      <c r="M5" s="1890"/>
      <c r="N5" s="1890"/>
      <c r="O5" s="1902" t="s">
        <v>140</v>
      </c>
      <c r="P5" s="1889">
        <f>+C5+1</f>
        <v>2018</v>
      </c>
      <c r="Q5" s="1890"/>
      <c r="R5" s="1890"/>
      <c r="S5" s="1890"/>
      <c r="T5" s="1890"/>
      <c r="U5" s="1890"/>
      <c r="V5" s="1890"/>
      <c r="W5" s="1890"/>
      <c r="X5" s="1890"/>
      <c r="Y5" s="1890"/>
      <c r="Z5" s="1890"/>
      <c r="AA5" s="1890"/>
      <c r="AB5" s="1902" t="s">
        <v>139</v>
      </c>
      <c r="AC5" s="260" t="s">
        <v>1</v>
      </c>
      <c r="AD5" s="261" t="s">
        <v>1</v>
      </c>
      <c r="AE5" s="262" t="s">
        <v>1</v>
      </c>
      <c r="AF5" s="261" t="s">
        <v>1</v>
      </c>
      <c r="AG5" s="262" t="s">
        <v>1</v>
      </c>
      <c r="AH5" s="261" t="s">
        <v>1</v>
      </c>
      <c r="AI5" s="262" t="s">
        <v>1</v>
      </c>
      <c r="AJ5" s="261" t="s">
        <v>1</v>
      </c>
      <c r="AK5" s="262" t="s">
        <v>1</v>
      </c>
      <c r="AL5" s="263" t="s">
        <v>1</v>
      </c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</row>
    <row r="6" spans="1:55" ht="21.6" customHeight="1" thickBot="1" x14ac:dyDescent="0.35">
      <c r="A6" s="1888"/>
      <c r="B6" s="1896"/>
      <c r="C6" s="706" t="str">
        <f>+'9 Ingresos'!D6</f>
        <v>Ene</v>
      </c>
      <c r="D6" s="660" t="str">
        <f>+'9 Ingresos'!E6</f>
        <v>Feb</v>
      </c>
      <c r="E6" s="660" t="str">
        <f>+'9 Ingresos'!F6</f>
        <v>Mar</v>
      </c>
      <c r="F6" s="660" t="str">
        <f>+'9 Ingresos'!G6</f>
        <v>Abr</v>
      </c>
      <c r="G6" s="660" t="str">
        <f>+'9 Ingresos'!H6</f>
        <v>May</v>
      </c>
      <c r="H6" s="660" t="str">
        <f>+'9 Ingresos'!I6</f>
        <v>Jun</v>
      </c>
      <c r="I6" s="660" t="str">
        <f>+'9 Ingresos'!J6</f>
        <v>Jul</v>
      </c>
      <c r="J6" s="660" t="str">
        <f>+'9 Ingresos'!K6</f>
        <v>Ago</v>
      </c>
      <c r="K6" s="660" t="str">
        <f>+'9 Ingresos'!L6</f>
        <v>Sep</v>
      </c>
      <c r="L6" s="660" t="str">
        <f>+'9 Ingresos'!M6</f>
        <v>Oct</v>
      </c>
      <c r="M6" s="660" t="str">
        <f>+'9 Ingresos'!N6</f>
        <v>Nov</v>
      </c>
      <c r="N6" s="660" t="str">
        <f>+'9 Ingresos'!O6</f>
        <v>Dic</v>
      </c>
      <c r="O6" s="1903"/>
      <c r="P6" s="984" t="str">
        <f>+C6</f>
        <v>Ene</v>
      </c>
      <c r="Q6" s="984" t="str">
        <f t="shared" ref="Q6:AA6" si="2">+D6</f>
        <v>Feb</v>
      </c>
      <c r="R6" s="984" t="str">
        <f t="shared" si="2"/>
        <v>Mar</v>
      </c>
      <c r="S6" s="984" t="str">
        <f t="shared" si="2"/>
        <v>Abr</v>
      </c>
      <c r="T6" s="984" t="str">
        <f t="shared" si="2"/>
        <v>May</v>
      </c>
      <c r="U6" s="984" t="str">
        <f t="shared" si="2"/>
        <v>Jun</v>
      </c>
      <c r="V6" s="984" t="str">
        <f t="shared" si="2"/>
        <v>Jul</v>
      </c>
      <c r="W6" s="984" t="str">
        <f t="shared" si="2"/>
        <v>Ago</v>
      </c>
      <c r="X6" s="984" t="str">
        <f t="shared" si="2"/>
        <v>Sep</v>
      </c>
      <c r="Y6" s="984" t="str">
        <f t="shared" si="2"/>
        <v>Oct</v>
      </c>
      <c r="Z6" s="265" t="str">
        <f t="shared" si="2"/>
        <v>Nov</v>
      </c>
      <c r="AA6" s="984" t="str">
        <f t="shared" si="2"/>
        <v>Dic</v>
      </c>
      <c r="AB6" s="1903"/>
      <c r="AC6" s="1271">
        <f>YEAR('19 Resumen'!D3)</f>
        <v>2017</v>
      </c>
      <c r="AD6" s="1272">
        <f t="shared" ref="AD6:AL6" si="3">+AC6+1</f>
        <v>2018</v>
      </c>
      <c r="AE6" s="1273">
        <f t="shared" si="3"/>
        <v>2019</v>
      </c>
      <c r="AF6" s="1272">
        <f t="shared" si="3"/>
        <v>2020</v>
      </c>
      <c r="AG6" s="1273">
        <f t="shared" si="3"/>
        <v>2021</v>
      </c>
      <c r="AH6" s="1272">
        <f t="shared" si="3"/>
        <v>2022</v>
      </c>
      <c r="AI6" s="1273">
        <f t="shared" si="3"/>
        <v>2023</v>
      </c>
      <c r="AJ6" s="1272">
        <f t="shared" si="3"/>
        <v>2024</v>
      </c>
      <c r="AK6" s="1273">
        <f t="shared" si="3"/>
        <v>2025</v>
      </c>
      <c r="AL6" s="1274">
        <f t="shared" si="3"/>
        <v>2026</v>
      </c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</row>
    <row r="7" spans="1:55" ht="15" customHeight="1" x14ac:dyDescent="0.3">
      <c r="A7" s="1030" t="str">
        <f>'9 Ingresos'!A7</f>
        <v>Plato fuerte</v>
      </c>
      <c r="B7" s="1279">
        <f>'9 Ingresos'!C7*0.35</f>
        <v>45.5</v>
      </c>
      <c r="C7" s="1027">
        <f>'9 Ingresos'!D7</f>
        <v>0</v>
      </c>
      <c r="D7" s="1012">
        <f>'9 Ingresos'!E7</f>
        <v>0</v>
      </c>
      <c r="E7" s="1012">
        <f>'9 Ingresos'!F7</f>
        <v>0</v>
      </c>
      <c r="F7" s="1012">
        <f>'9 Ingresos'!G7</f>
        <v>0</v>
      </c>
      <c r="G7" s="1012">
        <f>'9 Ingresos'!H7</f>
        <v>0</v>
      </c>
      <c r="H7" s="1012">
        <f>'9 Ingresos'!I7</f>
        <v>4800</v>
      </c>
      <c r="I7" s="1012">
        <f>'9 Ingresos'!J7</f>
        <v>4340</v>
      </c>
      <c r="J7" s="1012">
        <f>'9 Ingresos'!K7</f>
        <v>3720</v>
      </c>
      <c r="K7" s="1012">
        <f>'9 Ingresos'!L7</f>
        <v>4200</v>
      </c>
      <c r="L7" s="1012">
        <f>'9 Ingresos'!M7</f>
        <v>7440</v>
      </c>
      <c r="M7" s="1012">
        <f>'9 Ingresos'!N7</f>
        <v>9000</v>
      </c>
      <c r="N7" s="1018">
        <f>'9 Ingresos'!O7</f>
        <v>11160</v>
      </c>
      <c r="O7" s="1015">
        <f t="shared" ref="O7:O12" si="4">SUM(C7:N7)</f>
        <v>44660</v>
      </c>
      <c r="P7" s="950">
        <f>'9 Ingresos'!Q7</f>
        <v>4092.0000000000005</v>
      </c>
      <c r="Q7" s="712">
        <f>'9 Ingresos'!R7</f>
        <v>6160.0000000000009</v>
      </c>
      <c r="R7" s="712">
        <f>'9 Ingresos'!S7</f>
        <v>6479.0000000000009</v>
      </c>
      <c r="S7" s="712">
        <f>'9 Ingresos'!T7</f>
        <v>6270.0000000000009</v>
      </c>
      <c r="T7" s="712">
        <f>'9 Ingresos'!U7</f>
        <v>8184.0000000000009</v>
      </c>
      <c r="U7" s="712">
        <f>'9 Ingresos'!V7</f>
        <v>5280</v>
      </c>
      <c r="V7" s="712">
        <f>'9 Ingresos'!W7</f>
        <v>4774</v>
      </c>
      <c r="W7" s="712">
        <f>'9 Ingresos'!X7</f>
        <v>4092.0000000000005</v>
      </c>
      <c r="X7" s="712">
        <f>'9 Ingresos'!Y7</f>
        <v>4620</v>
      </c>
      <c r="Y7" s="712">
        <f>'9 Ingresos'!Z7</f>
        <v>8184.0000000000009</v>
      </c>
      <c r="Z7" s="712">
        <f>'9 Ingresos'!AA7</f>
        <v>9900</v>
      </c>
      <c r="AA7" s="712">
        <f>'9 Ingresos'!AB7</f>
        <v>12276.000000000002</v>
      </c>
      <c r="AB7" s="1021">
        <f t="shared" ref="AB7:AB12" si="5">SUM(P7:AA7)</f>
        <v>80311</v>
      </c>
      <c r="AC7" s="1275">
        <f t="shared" ref="AC7:AC12" si="6">+O7</f>
        <v>44660</v>
      </c>
      <c r="AD7" s="267">
        <f t="shared" ref="AD7:AD12" si="7">+AB7</f>
        <v>80311</v>
      </c>
      <c r="AE7" s="129">
        <f>+AD7*(1+'19 Resumen'!$F$32)</f>
        <v>88342.1</v>
      </c>
      <c r="AF7" s="129">
        <f>+AE7*(1+'19 Resumen'!$G$32)</f>
        <v>97176.310000000012</v>
      </c>
      <c r="AG7" s="129">
        <f>+AF7*(1+'19 Resumen'!$H$32)</f>
        <v>106893.94100000002</v>
      </c>
      <c r="AH7" s="129">
        <f>+AG7*(1+'19 Resumen'!$I$32)</f>
        <v>115445.45628000003</v>
      </c>
      <c r="AI7" s="129">
        <f>+AH7*(1+'19 Resumen'!$I$32)</f>
        <v>124681.09278240004</v>
      </c>
      <c r="AJ7" s="129">
        <f>+AI7*(1+'19 Resumen'!$I$32)</f>
        <v>134655.58020499206</v>
      </c>
      <c r="AK7" s="129">
        <f>+AJ7*(1+'19 Resumen'!$I$32)</f>
        <v>145428.02662139144</v>
      </c>
      <c r="AL7" s="353">
        <f>+AK7*(1+'19 Resumen'!$I$32)</f>
        <v>157062.26875110276</v>
      </c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</row>
    <row r="8" spans="1:55" ht="15" customHeight="1" x14ac:dyDescent="0.3">
      <c r="A8" s="1030" t="str">
        <f>'9 Ingresos'!A8</f>
        <v>Ensaladas</v>
      </c>
      <c r="B8" s="1279">
        <f>'9 Ingresos'!C8*0.35</f>
        <v>28</v>
      </c>
      <c r="C8" s="1028">
        <f>'9 Ingresos'!D8</f>
        <v>0</v>
      </c>
      <c r="D8" s="1013">
        <f>'9 Ingresos'!E8</f>
        <v>0</v>
      </c>
      <c r="E8" s="1013">
        <f>'9 Ingresos'!F8</f>
        <v>0</v>
      </c>
      <c r="F8" s="1013">
        <f>'9 Ingresos'!G8</f>
        <v>0</v>
      </c>
      <c r="G8" s="1013">
        <f>'9 Ingresos'!H8</f>
        <v>0</v>
      </c>
      <c r="H8" s="1013">
        <f>'9 Ingresos'!I8</f>
        <v>3360</v>
      </c>
      <c r="I8" s="1013">
        <f>'9 Ingresos'!J8</f>
        <v>3038</v>
      </c>
      <c r="J8" s="1013">
        <f>'9 Ingresos'!K8</f>
        <v>2604</v>
      </c>
      <c r="K8" s="1013">
        <f>'9 Ingresos'!L8</f>
        <v>2940</v>
      </c>
      <c r="L8" s="1013">
        <f>'9 Ingresos'!M8</f>
        <v>5208</v>
      </c>
      <c r="M8" s="1013">
        <f>'9 Ingresos'!N8</f>
        <v>6300</v>
      </c>
      <c r="N8" s="1019">
        <f>'9 Ingresos'!O8</f>
        <v>7812</v>
      </c>
      <c r="O8" s="1016">
        <f t="shared" si="4"/>
        <v>31262</v>
      </c>
      <c r="P8" s="951">
        <f>'9 Ingresos'!Q8</f>
        <v>2864.4</v>
      </c>
      <c r="Q8" s="268">
        <f>'9 Ingresos'!R8</f>
        <v>4312</v>
      </c>
      <c r="R8" s="268">
        <f>'9 Ingresos'!S8</f>
        <v>4535.3</v>
      </c>
      <c r="S8" s="268">
        <f>'9 Ingresos'!T8</f>
        <v>4389</v>
      </c>
      <c r="T8" s="268">
        <f>'9 Ingresos'!U8</f>
        <v>5728.8</v>
      </c>
      <c r="U8" s="268">
        <f>'9 Ingresos'!V8</f>
        <v>3696.0000000000005</v>
      </c>
      <c r="V8" s="268">
        <f>'9 Ingresos'!W8</f>
        <v>3341.8</v>
      </c>
      <c r="W8" s="268">
        <f>'9 Ingresos'!X8</f>
        <v>2864.4</v>
      </c>
      <c r="X8" s="268">
        <f>'9 Ingresos'!Y8</f>
        <v>3234.0000000000005</v>
      </c>
      <c r="Y8" s="268">
        <f>'9 Ingresos'!Z8</f>
        <v>5728.8</v>
      </c>
      <c r="Z8" s="268">
        <f>'9 Ingresos'!AA8</f>
        <v>6930.0000000000009</v>
      </c>
      <c r="AA8" s="268">
        <f>'9 Ingresos'!AB8</f>
        <v>8593.2000000000007</v>
      </c>
      <c r="AB8" s="1022">
        <f t="shared" si="5"/>
        <v>56217.700000000012</v>
      </c>
      <c r="AC8" s="1276">
        <f t="shared" si="6"/>
        <v>31262</v>
      </c>
      <c r="AD8" s="270">
        <f t="shared" si="7"/>
        <v>56217.700000000012</v>
      </c>
      <c r="AE8" s="114">
        <f>+AD8*(1+'19 Resumen'!$F$32)</f>
        <v>61839.470000000016</v>
      </c>
      <c r="AF8" s="97">
        <f>+AE8*(1+'19 Resumen'!$G$32)</f>
        <v>68023.417000000016</v>
      </c>
      <c r="AG8" s="97">
        <f>+AF8*(1+'19 Resumen'!$H$32)</f>
        <v>74825.75870000002</v>
      </c>
      <c r="AH8" s="97">
        <f>+AG8*(1+'19 Resumen'!$I$32)</f>
        <v>80811.819396000021</v>
      </c>
      <c r="AI8" s="97">
        <f>+AH8*(1+'19 Resumen'!$I$32)</f>
        <v>87276.764947680029</v>
      </c>
      <c r="AJ8" s="97">
        <f>+AI8*(1+'19 Resumen'!$I$32)</f>
        <v>94258.906143494431</v>
      </c>
      <c r="AK8" s="97">
        <f>+AJ8*(1+'19 Resumen'!$I$32)</f>
        <v>101799.61863497399</v>
      </c>
      <c r="AL8" s="98">
        <f>+AK8*(1+'19 Resumen'!$I$32)</f>
        <v>109943.58812577192</v>
      </c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</row>
    <row r="9" spans="1:55" ht="15" customHeight="1" x14ac:dyDescent="0.3">
      <c r="A9" s="1030" t="str">
        <f>'9 Ingresos'!A9</f>
        <v>Entradas</v>
      </c>
      <c r="B9" s="1279">
        <f>'9 Ingresos'!C9*0.45</f>
        <v>33.75</v>
      </c>
      <c r="C9" s="1028">
        <f>'9 Ingresos'!D9</f>
        <v>0</v>
      </c>
      <c r="D9" s="1013">
        <f>'9 Ingresos'!E9</f>
        <v>0</v>
      </c>
      <c r="E9" s="1013">
        <f>'9 Ingresos'!F9</f>
        <v>0</v>
      </c>
      <c r="F9" s="1013">
        <f>'9 Ingresos'!G9</f>
        <v>0</v>
      </c>
      <c r="G9" s="1013">
        <f>'9 Ingresos'!H9</f>
        <v>0</v>
      </c>
      <c r="H9" s="1013">
        <f>'9 Ingresos'!I9</f>
        <v>2016</v>
      </c>
      <c r="I9" s="1013">
        <f>'9 Ingresos'!J9</f>
        <v>1822.8</v>
      </c>
      <c r="J9" s="1013">
        <f>'9 Ingresos'!K9</f>
        <v>1562.3999999999999</v>
      </c>
      <c r="K9" s="1013">
        <f>'9 Ingresos'!L9</f>
        <v>1764</v>
      </c>
      <c r="L9" s="1013">
        <f>'9 Ingresos'!M9</f>
        <v>3124.7999999999997</v>
      </c>
      <c r="M9" s="1013">
        <f>'9 Ingresos'!N9</f>
        <v>3780</v>
      </c>
      <c r="N9" s="1019">
        <f>'9 Ingresos'!O9</f>
        <v>4687.2000000000007</v>
      </c>
      <c r="O9" s="1016">
        <f t="shared" si="4"/>
        <v>18757.2</v>
      </c>
      <c r="P9" s="951">
        <f>'9 Ingresos'!Q9</f>
        <v>1718.64</v>
      </c>
      <c r="Q9" s="268">
        <f>'9 Ingresos'!R9</f>
        <v>2587.2000000000003</v>
      </c>
      <c r="R9" s="268">
        <f>'9 Ingresos'!S9</f>
        <v>2721.18</v>
      </c>
      <c r="S9" s="268">
        <f>'9 Ingresos'!T9</f>
        <v>2633.4</v>
      </c>
      <c r="T9" s="268">
        <f>'9 Ingresos'!U9</f>
        <v>3437.28</v>
      </c>
      <c r="U9" s="268">
        <f>'9 Ingresos'!V9</f>
        <v>2217.6000000000004</v>
      </c>
      <c r="V9" s="268">
        <f>'9 Ingresos'!W9</f>
        <v>2005.0800000000002</v>
      </c>
      <c r="W9" s="268">
        <f>'9 Ingresos'!X9</f>
        <v>1718.64</v>
      </c>
      <c r="X9" s="268">
        <f>'9 Ingresos'!Y9</f>
        <v>1940.4</v>
      </c>
      <c r="Y9" s="268">
        <f>'9 Ingresos'!Z9</f>
        <v>3437.28</v>
      </c>
      <c r="Z9" s="268">
        <f>'9 Ingresos'!AA9</f>
        <v>4158</v>
      </c>
      <c r="AA9" s="268">
        <f>'9 Ingresos'!AB9</f>
        <v>5155.92</v>
      </c>
      <c r="AB9" s="1022">
        <f t="shared" si="5"/>
        <v>33730.620000000003</v>
      </c>
      <c r="AC9" s="1276">
        <f t="shared" si="6"/>
        <v>18757.2</v>
      </c>
      <c r="AD9" s="270">
        <f t="shared" si="7"/>
        <v>33730.620000000003</v>
      </c>
      <c r="AE9" s="114">
        <f>+AD9*(1+'19 Resumen'!$F$32)</f>
        <v>37103.682000000008</v>
      </c>
      <c r="AF9" s="97">
        <f>+AE9*(1+'19 Resumen'!$G$32)</f>
        <v>40814.050200000012</v>
      </c>
      <c r="AG9" s="97">
        <f>+AF9*(1+'19 Resumen'!$H$32)</f>
        <v>44895.455220000018</v>
      </c>
      <c r="AH9" s="97">
        <f>+AG9*(1+'19 Resumen'!$I$32)</f>
        <v>48487.091637600024</v>
      </c>
      <c r="AI9" s="97">
        <f>+AH9*(1+'19 Resumen'!$I$32)</f>
        <v>52366.058968608027</v>
      </c>
      <c r="AJ9" s="97">
        <f>+AI9*(1+'19 Resumen'!$I$32)</f>
        <v>56555.343686096676</v>
      </c>
      <c r="AK9" s="97">
        <f>+AJ9*(1+'19 Resumen'!$I$32)</f>
        <v>61079.771180984411</v>
      </c>
      <c r="AL9" s="98">
        <f>+AK9*(1+'19 Resumen'!$I$32)</f>
        <v>65966.152875463173</v>
      </c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</row>
    <row r="10" spans="1:55" ht="15" customHeight="1" x14ac:dyDescent="0.3">
      <c r="A10" s="1030" t="str">
        <f>'9 Ingresos'!A10</f>
        <v>Postres</v>
      </c>
      <c r="B10" s="1279">
        <f>'9 Ingresos'!C10*0.7</f>
        <v>42</v>
      </c>
      <c r="C10" s="1028">
        <f>'9 Ingresos'!D10</f>
        <v>0</v>
      </c>
      <c r="D10" s="1013">
        <f>'9 Ingresos'!E10</f>
        <v>0</v>
      </c>
      <c r="E10" s="1013">
        <f>'9 Ingresos'!F10</f>
        <v>0</v>
      </c>
      <c r="F10" s="1013">
        <f>'9 Ingresos'!G10</f>
        <v>0</v>
      </c>
      <c r="G10" s="1013">
        <f>'9 Ingresos'!H10</f>
        <v>0</v>
      </c>
      <c r="H10" s="1013">
        <f>'9 Ingresos'!I10</f>
        <v>2160</v>
      </c>
      <c r="I10" s="1013">
        <f>'9 Ingresos'!J10</f>
        <v>1952.9999999999998</v>
      </c>
      <c r="J10" s="1013">
        <f>'9 Ingresos'!K10</f>
        <v>1674</v>
      </c>
      <c r="K10" s="1013">
        <f>'9 Ingresos'!L10</f>
        <v>1889.9999999999998</v>
      </c>
      <c r="L10" s="1013">
        <f>'9 Ingresos'!M10</f>
        <v>3348</v>
      </c>
      <c r="M10" s="1013">
        <f>'9 Ingresos'!N10</f>
        <v>4050</v>
      </c>
      <c r="N10" s="1019">
        <f>'9 Ingresos'!O10</f>
        <v>5022</v>
      </c>
      <c r="O10" s="1016">
        <f t="shared" si="4"/>
        <v>20097</v>
      </c>
      <c r="P10" s="951">
        <f>'9 Ingresos'!Q10</f>
        <v>1841.4</v>
      </c>
      <c r="Q10" s="268">
        <f>'9 Ingresos'!R10</f>
        <v>2772</v>
      </c>
      <c r="R10" s="268">
        <f>'9 Ingresos'!S10</f>
        <v>2915.55</v>
      </c>
      <c r="S10" s="268">
        <f>'9 Ingresos'!T10</f>
        <v>2821.5000000000005</v>
      </c>
      <c r="T10" s="268">
        <f>'9 Ingresos'!U10</f>
        <v>3682.8</v>
      </c>
      <c r="U10" s="268">
        <f>'9 Ingresos'!V10</f>
        <v>2376</v>
      </c>
      <c r="V10" s="268">
        <f>'9 Ingresos'!W10</f>
        <v>2148.2999999999997</v>
      </c>
      <c r="W10" s="268">
        <f>'9 Ingresos'!X10</f>
        <v>1841.4</v>
      </c>
      <c r="X10" s="268">
        <f>'9 Ingresos'!Y10</f>
        <v>2079</v>
      </c>
      <c r="Y10" s="268">
        <f>'9 Ingresos'!Z10</f>
        <v>3682.8</v>
      </c>
      <c r="Z10" s="268">
        <f>'9 Ingresos'!AA10</f>
        <v>4455</v>
      </c>
      <c r="AA10" s="268">
        <f>'9 Ingresos'!AB10</f>
        <v>5524.2000000000007</v>
      </c>
      <c r="AB10" s="1022">
        <f t="shared" si="5"/>
        <v>36139.949999999997</v>
      </c>
      <c r="AC10" s="1276">
        <f t="shared" si="6"/>
        <v>20097</v>
      </c>
      <c r="AD10" s="270">
        <f t="shared" si="7"/>
        <v>36139.949999999997</v>
      </c>
      <c r="AE10" s="114">
        <f>+AD10*(1+'19 Resumen'!$F$32)</f>
        <v>39753.945</v>
      </c>
      <c r="AF10" s="97">
        <f>+AE10*(1+'19 Resumen'!$G$32)</f>
        <v>43729.339500000002</v>
      </c>
      <c r="AG10" s="97">
        <f>+AF10*(1+'19 Resumen'!$H$32)</f>
        <v>48102.273450000008</v>
      </c>
      <c r="AH10" s="97">
        <f>+AG10*(1+'19 Resumen'!$I$32)</f>
        <v>51950.45532600001</v>
      </c>
      <c r="AI10" s="97">
        <f>+AH10*(1+'19 Resumen'!$I$32)</f>
        <v>56106.491752080015</v>
      </c>
      <c r="AJ10" s="97">
        <f>+AI10*(1+'19 Resumen'!$I$32)</f>
        <v>60595.011092246423</v>
      </c>
      <c r="AK10" s="97">
        <f>+AJ10*(1+'19 Resumen'!$I$32)</f>
        <v>65442.611979626141</v>
      </c>
      <c r="AL10" s="98">
        <f>+AK10*(1+'19 Resumen'!$I$32)</f>
        <v>70678.020937996233</v>
      </c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</row>
    <row r="11" spans="1:55" ht="15" customHeight="1" x14ac:dyDescent="0.3">
      <c r="A11" s="1030" t="str">
        <f>'9 Ingresos'!A11</f>
        <v>Bebidas sin licor</v>
      </c>
      <c r="B11" s="1279">
        <f>'9 Ingresos'!C11*0.2</f>
        <v>4</v>
      </c>
      <c r="C11" s="1028">
        <f>'9 Ingresos'!D11</f>
        <v>0</v>
      </c>
      <c r="D11" s="1013">
        <f>'9 Ingresos'!E11</f>
        <v>0</v>
      </c>
      <c r="E11" s="1013">
        <f>'9 Ingresos'!F11</f>
        <v>0</v>
      </c>
      <c r="F11" s="1013">
        <f>'9 Ingresos'!G11</f>
        <v>0</v>
      </c>
      <c r="G11" s="1013">
        <f>'9 Ingresos'!H11</f>
        <v>0</v>
      </c>
      <c r="H11" s="1013">
        <f>'9 Ingresos'!I11</f>
        <v>3360</v>
      </c>
      <c r="I11" s="1013">
        <f>'9 Ingresos'!J11</f>
        <v>3038</v>
      </c>
      <c r="J11" s="1013">
        <f>'9 Ingresos'!K11</f>
        <v>2604</v>
      </c>
      <c r="K11" s="1013">
        <f>'9 Ingresos'!L11</f>
        <v>2940</v>
      </c>
      <c r="L11" s="1013">
        <f>'9 Ingresos'!M11</f>
        <v>5208</v>
      </c>
      <c r="M11" s="1013">
        <f>'9 Ingresos'!N11</f>
        <v>6300</v>
      </c>
      <c r="N11" s="1019">
        <f>'9 Ingresos'!O11</f>
        <v>7812</v>
      </c>
      <c r="O11" s="1016">
        <f t="shared" si="4"/>
        <v>31262</v>
      </c>
      <c r="P11" s="951">
        <f>'9 Ingresos'!Q11</f>
        <v>2864.4</v>
      </c>
      <c r="Q11" s="268">
        <f>'9 Ingresos'!R11</f>
        <v>4312</v>
      </c>
      <c r="R11" s="268">
        <f>'9 Ingresos'!S11</f>
        <v>4535.3</v>
      </c>
      <c r="S11" s="268">
        <f>'9 Ingresos'!T11</f>
        <v>4389</v>
      </c>
      <c r="T11" s="268">
        <f>'9 Ingresos'!U11</f>
        <v>5728.8</v>
      </c>
      <c r="U11" s="268">
        <f>'9 Ingresos'!V11</f>
        <v>3696.0000000000005</v>
      </c>
      <c r="V11" s="268">
        <f>'9 Ingresos'!W11</f>
        <v>3341.8</v>
      </c>
      <c r="W11" s="268">
        <f>'9 Ingresos'!X11</f>
        <v>2864.4</v>
      </c>
      <c r="X11" s="268">
        <f>'9 Ingresos'!Y11</f>
        <v>3234.0000000000005</v>
      </c>
      <c r="Y11" s="268">
        <f>'9 Ingresos'!Z11</f>
        <v>5728.8</v>
      </c>
      <c r="Z11" s="268">
        <f>'9 Ingresos'!AA11</f>
        <v>6930.0000000000009</v>
      </c>
      <c r="AA11" s="268">
        <f>'9 Ingresos'!AB11</f>
        <v>8593.2000000000007</v>
      </c>
      <c r="AB11" s="1022">
        <f t="shared" si="5"/>
        <v>56217.700000000012</v>
      </c>
      <c r="AC11" s="1276">
        <f t="shared" si="6"/>
        <v>31262</v>
      </c>
      <c r="AD11" s="270">
        <f t="shared" si="7"/>
        <v>56217.700000000012</v>
      </c>
      <c r="AE11" s="114">
        <f>+AD11*(1+'19 Resumen'!$F$32)</f>
        <v>61839.470000000016</v>
      </c>
      <c r="AF11" s="97">
        <f>+AE11*(1+'19 Resumen'!$G$32)</f>
        <v>68023.417000000016</v>
      </c>
      <c r="AG11" s="97">
        <f>+AF11*(1+'19 Resumen'!$H$32)</f>
        <v>74825.75870000002</v>
      </c>
      <c r="AH11" s="97">
        <f>+AG11*(1+'19 Resumen'!$I$32)</f>
        <v>80811.819396000021</v>
      </c>
      <c r="AI11" s="97">
        <f>+AH11*(1+'19 Resumen'!$I$32)</f>
        <v>87276.764947680029</v>
      </c>
      <c r="AJ11" s="97">
        <f>+AI11*(1+'19 Resumen'!$I$32)</f>
        <v>94258.906143494431</v>
      </c>
      <c r="AK11" s="97">
        <f>+AJ11*(1+'19 Resumen'!$I$32)</f>
        <v>101799.61863497399</v>
      </c>
      <c r="AL11" s="98">
        <f>+AK11*(1+'19 Resumen'!$I$32)</f>
        <v>109943.58812577192</v>
      </c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</row>
    <row r="12" spans="1:55" ht="15" customHeight="1" thickBot="1" x14ac:dyDescent="0.35">
      <c r="A12" s="1030" t="str">
        <f>'9 Ingresos'!A12</f>
        <v>Bebidas con licor</v>
      </c>
      <c r="B12" s="1279">
        <f>'9 Ingresos'!C12*0.45</f>
        <v>27</v>
      </c>
      <c r="C12" s="1029">
        <f>'9 Ingresos'!D12</f>
        <v>0</v>
      </c>
      <c r="D12" s="1014">
        <f>'9 Ingresos'!E12</f>
        <v>0</v>
      </c>
      <c r="E12" s="1014">
        <f>'9 Ingresos'!F12</f>
        <v>0</v>
      </c>
      <c r="F12" s="1014">
        <f>'9 Ingresos'!G12</f>
        <v>0</v>
      </c>
      <c r="G12" s="1014">
        <f>'9 Ingresos'!H12</f>
        <v>0</v>
      </c>
      <c r="H12" s="1014">
        <f>'9 Ingresos'!I12</f>
        <v>1440</v>
      </c>
      <c r="I12" s="1014">
        <f>'9 Ingresos'!J12</f>
        <v>1302</v>
      </c>
      <c r="J12" s="1014">
        <f>'9 Ingresos'!K12</f>
        <v>1116</v>
      </c>
      <c r="K12" s="1014">
        <f>'9 Ingresos'!L12</f>
        <v>1260</v>
      </c>
      <c r="L12" s="1014">
        <f>'9 Ingresos'!M12</f>
        <v>2232</v>
      </c>
      <c r="M12" s="1014">
        <f>'9 Ingresos'!N12</f>
        <v>2700</v>
      </c>
      <c r="N12" s="1020">
        <f>'9 Ingresos'!O12</f>
        <v>3348</v>
      </c>
      <c r="O12" s="1017">
        <f t="shared" si="4"/>
        <v>13398</v>
      </c>
      <c r="P12" s="952">
        <f>'9 Ingresos'!Q12</f>
        <v>1227.6000000000001</v>
      </c>
      <c r="Q12" s="273">
        <f>'9 Ingresos'!R12</f>
        <v>1848.0000000000002</v>
      </c>
      <c r="R12" s="273">
        <f>'9 Ingresos'!S12</f>
        <v>1943.7</v>
      </c>
      <c r="S12" s="273">
        <f>'9 Ingresos'!T12</f>
        <v>1881.0000000000002</v>
      </c>
      <c r="T12" s="273">
        <f>'9 Ingresos'!U12</f>
        <v>2455.2000000000003</v>
      </c>
      <c r="U12" s="273">
        <f>'9 Ingresos'!V12</f>
        <v>1584.0000000000002</v>
      </c>
      <c r="V12" s="273">
        <f>'9 Ingresos'!W12</f>
        <v>1432.2</v>
      </c>
      <c r="W12" s="273">
        <f>'9 Ingresos'!X12</f>
        <v>1227.6000000000001</v>
      </c>
      <c r="X12" s="273">
        <f>'9 Ingresos'!Y12</f>
        <v>1386</v>
      </c>
      <c r="Y12" s="273">
        <f>'9 Ingresos'!Z12</f>
        <v>2455.2000000000003</v>
      </c>
      <c r="Z12" s="273">
        <f>'9 Ingresos'!AA12</f>
        <v>2970.0000000000005</v>
      </c>
      <c r="AA12" s="273">
        <f>'9 Ingresos'!AB12</f>
        <v>3682.8</v>
      </c>
      <c r="AB12" s="1023">
        <f t="shared" si="5"/>
        <v>24093.3</v>
      </c>
      <c r="AC12" s="1277">
        <f t="shared" si="6"/>
        <v>13398</v>
      </c>
      <c r="AD12" s="274">
        <f t="shared" si="7"/>
        <v>24093.3</v>
      </c>
      <c r="AE12" s="116">
        <f>+AD12*(1+'19 Resumen'!$F$32)</f>
        <v>26502.63</v>
      </c>
      <c r="AF12" s="102">
        <f>+AE12*(1+'19 Resumen'!$G$32)</f>
        <v>29152.893000000004</v>
      </c>
      <c r="AG12" s="102">
        <f>+AF12*(1+'19 Resumen'!$H$32)</f>
        <v>32068.182300000008</v>
      </c>
      <c r="AH12" s="102">
        <f>+AG12*(1+'19 Resumen'!$I$32)</f>
        <v>34633.636884000014</v>
      </c>
      <c r="AI12" s="102">
        <f>+AH12*(1+'19 Resumen'!$I$32)</f>
        <v>37404.327834720018</v>
      </c>
      <c r="AJ12" s="102">
        <f>+AI12*(1+'19 Resumen'!$I$32)</f>
        <v>40396.674061497622</v>
      </c>
      <c r="AK12" s="102">
        <f>+AJ12*(1+'19 Resumen'!$I$32)</f>
        <v>43628.407986417435</v>
      </c>
      <c r="AL12" s="103">
        <f>+AK12*(1+'19 Resumen'!$I$32)</f>
        <v>47118.680625330831</v>
      </c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</row>
    <row r="13" spans="1:55" ht="15" customHeight="1" thickBot="1" x14ac:dyDescent="0.35">
      <c r="A13" s="133"/>
      <c r="B13" s="133"/>
      <c r="C13" s="133"/>
      <c r="D13" s="133"/>
      <c r="E13" s="133"/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133"/>
      <c r="X13" s="133"/>
      <c r="Y13" s="133"/>
      <c r="Z13" s="133"/>
      <c r="AA13" s="133"/>
      <c r="AB13" s="133"/>
      <c r="AC13" s="133"/>
      <c r="AD13" s="133"/>
      <c r="AE13" s="133"/>
      <c r="AF13" s="133"/>
      <c r="AG13" s="133"/>
      <c r="AH13" s="133"/>
      <c r="AI13" s="133"/>
      <c r="AJ13" s="133"/>
      <c r="AK13" s="133"/>
      <c r="AL13" s="133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</row>
    <row r="14" spans="1:55" s="9" customFormat="1" ht="21.6" customHeight="1" thickBot="1" x14ac:dyDescent="0.35">
      <c r="A14" s="1886" t="s">
        <v>74</v>
      </c>
      <c r="B14" s="1872" t="s">
        <v>317</v>
      </c>
      <c r="C14" s="1601" t="s">
        <v>241</v>
      </c>
      <c r="D14" s="1599"/>
      <c r="E14" s="1599"/>
      <c r="F14" s="1599"/>
      <c r="G14" s="1599"/>
      <c r="H14" s="1599"/>
      <c r="I14" s="1599"/>
      <c r="J14" s="1599"/>
      <c r="K14" s="1599"/>
      <c r="L14" s="1599"/>
      <c r="M14" s="1599"/>
      <c r="N14" s="1599"/>
      <c r="O14" s="1600"/>
      <c r="P14" s="1601" t="s">
        <v>79</v>
      </c>
      <c r="Q14" s="1599"/>
      <c r="R14" s="1599"/>
      <c r="S14" s="1599"/>
      <c r="T14" s="1599"/>
      <c r="U14" s="1599"/>
      <c r="V14" s="1599"/>
      <c r="W14" s="1599"/>
      <c r="X14" s="1599"/>
      <c r="Y14" s="1599"/>
      <c r="Z14" s="1599"/>
      <c r="AA14" s="1599"/>
      <c r="AB14" s="1600"/>
      <c r="AC14" s="1598" t="str">
        <f>+P14</f>
        <v>Costos</v>
      </c>
      <c r="AD14" s="1599"/>
      <c r="AE14" s="1599"/>
      <c r="AF14" s="1599"/>
      <c r="AG14" s="1599"/>
      <c r="AH14" s="1599"/>
      <c r="AI14" s="1599"/>
      <c r="AJ14" s="1599"/>
      <c r="AK14" s="1599"/>
      <c r="AL14" s="1600"/>
    </row>
    <row r="15" spans="1:55" s="9" customFormat="1" ht="21.6" customHeight="1" x14ac:dyDescent="0.3">
      <c r="A15" s="1887"/>
      <c r="B15" s="1873"/>
      <c r="C15" s="1889">
        <f>+C5</f>
        <v>2017</v>
      </c>
      <c r="D15" s="1890"/>
      <c r="E15" s="1890"/>
      <c r="F15" s="1890"/>
      <c r="G15" s="1890"/>
      <c r="H15" s="1890"/>
      <c r="I15" s="1890"/>
      <c r="J15" s="1890"/>
      <c r="K15" s="1890"/>
      <c r="L15" s="1890"/>
      <c r="M15" s="1890"/>
      <c r="N15" s="1890"/>
      <c r="O15" s="1902" t="s">
        <v>73</v>
      </c>
      <c r="P15" s="1889">
        <f>+P5</f>
        <v>2018</v>
      </c>
      <c r="Q15" s="1890"/>
      <c r="R15" s="1890"/>
      <c r="S15" s="1890"/>
      <c r="T15" s="1890"/>
      <c r="U15" s="1890"/>
      <c r="V15" s="1890"/>
      <c r="W15" s="1890"/>
      <c r="X15" s="1890"/>
      <c r="Y15" s="1890"/>
      <c r="Z15" s="1890"/>
      <c r="AA15" s="1890"/>
      <c r="AB15" s="1902" t="s">
        <v>139</v>
      </c>
      <c r="AC15" s="275" t="str">
        <f t="shared" ref="AC15:AL15" si="8">+AC5</f>
        <v>Total</v>
      </c>
      <c r="AD15" s="262" t="str">
        <f t="shared" si="8"/>
        <v>Total</v>
      </c>
      <c r="AE15" s="261" t="str">
        <f t="shared" si="8"/>
        <v>Total</v>
      </c>
      <c r="AF15" s="262" t="str">
        <f t="shared" si="8"/>
        <v>Total</v>
      </c>
      <c r="AG15" s="261" t="str">
        <f t="shared" si="8"/>
        <v>Total</v>
      </c>
      <c r="AH15" s="262" t="str">
        <f t="shared" si="8"/>
        <v>Total</v>
      </c>
      <c r="AI15" s="261" t="str">
        <f t="shared" si="8"/>
        <v>Total</v>
      </c>
      <c r="AJ15" s="262" t="str">
        <f t="shared" si="8"/>
        <v>Total</v>
      </c>
      <c r="AK15" s="261" t="str">
        <f t="shared" si="8"/>
        <v>Total</v>
      </c>
      <c r="AL15" s="276" t="str">
        <f t="shared" si="8"/>
        <v>Total</v>
      </c>
    </row>
    <row r="16" spans="1:55" s="9" customFormat="1" ht="21.6" customHeight="1" thickBot="1" x14ac:dyDescent="0.35">
      <c r="A16" s="1888"/>
      <c r="B16" s="1874"/>
      <c r="C16" s="264" t="str">
        <f>+C6</f>
        <v>Ene</v>
      </c>
      <c r="D16" s="265" t="str">
        <f t="shared" ref="D16:N16" si="9">+D6</f>
        <v>Feb</v>
      </c>
      <c r="E16" s="265" t="str">
        <f t="shared" si="9"/>
        <v>Mar</v>
      </c>
      <c r="F16" s="265" t="str">
        <f t="shared" si="9"/>
        <v>Abr</v>
      </c>
      <c r="G16" s="265" t="str">
        <f t="shared" si="9"/>
        <v>May</v>
      </c>
      <c r="H16" s="265" t="str">
        <f t="shared" si="9"/>
        <v>Jun</v>
      </c>
      <c r="I16" s="265" t="str">
        <f t="shared" si="9"/>
        <v>Jul</v>
      </c>
      <c r="J16" s="265" t="str">
        <f t="shared" si="9"/>
        <v>Ago</v>
      </c>
      <c r="K16" s="265" t="str">
        <f t="shared" si="9"/>
        <v>Sep</v>
      </c>
      <c r="L16" s="265" t="str">
        <f t="shared" si="9"/>
        <v>Oct</v>
      </c>
      <c r="M16" s="265" t="str">
        <f t="shared" si="9"/>
        <v>Nov</v>
      </c>
      <c r="N16" s="265" t="str">
        <f t="shared" si="9"/>
        <v>Dic</v>
      </c>
      <c r="O16" s="1903"/>
      <c r="P16" s="264" t="str">
        <f>+P6</f>
        <v>Ene</v>
      </c>
      <c r="Q16" s="660" t="str">
        <f t="shared" ref="Q16:AA16" si="10">+Q6</f>
        <v>Feb</v>
      </c>
      <c r="R16" s="660" t="str">
        <f t="shared" si="10"/>
        <v>Mar</v>
      </c>
      <c r="S16" s="660" t="str">
        <f t="shared" si="10"/>
        <v>Abr</v>
      </c>
      <c r="T16" s="660" t="str">
        <f t="shared" si="10"/>
        <v>May</v>
      </c>
      <c r="U16" s="660" t="str">
        <f t="shared" si="10"/>
        <v>Jun</v>
      </c>
      <c r="V16" s="660" t="str">
        <f t="shared" si="10"/>
        <v>Jul</v>
      </c>
      <c r="W16" s="660" t="str">
        <f t="shared" si="10"/>
        <v>Ago</v>
      </c>
      <c r="X16" s="660" t="str">
        <f t="shared" si="10"/>
        <v>Sep</v>
      </c>
      <c r="Y16" s="660" t="str">
        <f t="shared" si="10"/>
        <v>Oct</v>
      </c>
      <c r="Z16" s="660" t="str">
        <f t="shared" si="10"/>
        <v>Nov</v>
      </c>
      <c r="AA16" s="660" t="str">
        <f t="shared" si="10"/>
        <v>Dic</v>
      </c>
      <c r="AB16" s="1903"/>
      <c r="AC16" s="277">
        <f t="shared" ref="AC16:AL16" si="11">+AC6</f>
        <v>2017</v>
      </c>
      <c r="AD16" s="278">
        <f t="shared" si="11"/>
        <v>2018</v>
      </c>
      <c r="AE16" s="279">
        <f t="shared" si="11"/>
        <v>2019</v>
      </c>
      <c r="AF16" s="278">
        <f t="shared" si="11"/>
        <v>2020</v>
      </c>
      <c r="AG16" s="279">
        <f t="shared" si="11"/>
        <v>2021</v>
      </c>
      <c r="AH16" s="278">
        <f t="shared" si="11"/>
        <v>2022</v>
      </c>
      <c r="AI16" s="279">
        <f t="shared" si="11"/>
        <v>2023</v>
      </c>
      <c r="AJ16" s="278">
        <f t="shared" si="11"/>
        <v>2024</v>
      </c>
      <c r="AK16" s="279">
        <f t="shared" si="11"/>
        <v>2025</v>
      </c>
      <c r="AL16" s="280">
        <f t="shared" si="11"/>
        <v>2026</v>
      </c>
    </row>
    <row r="17" spans="1:38" ht="15" customHeight="1" x14ac:dyDescent="0.2">
      <c r="A17" s="958" t="str">
        <f>+A7</f>
        <v>Plato fuerte</v>
      </c>
      <c r="B17" s="959">
        <f>B7*'19 Resumen'!$L$7</f>
        <v>45.5</v>
      </c>
      <c r="C17" s="266">
        <f t="shared" ref="C17:N17" si="12">C7*$B17</f>
        <v>0</v>
      </c>
      <c r="D17" s="267">
        <f t="shared" si="12"/>
        <v>0</v>
      </c>
      <c r="E17" s="267">
        <f t="shared" si="12"/>
        <v>0</v>
      </c>
      <c r="F17" s="267">
        <f t="shared" si="12"/>
        <v>0</v>
      </c>
      <c r="G17" s="267">
        <f t="shared" si="12"/>
        <v>0</v>
      </c>
      <c r="H17" s="267">
        <f t="shared" si="12"/>
        <v>218400</v>
      </c>
      <c r="I17" s="267">
        <f t="shared" si="12"/>
        <v>197470</v>
      </c>
      <c r="J17" s="267">
        <f t="shared" si="12"/>
        <v>169260</v>
      </c>
      <c r="K17" s="267">
        <f t="shared" si="12"/>
        <v>191100</v>
      </c>
      <c r="L17" s="267">
        <f t="shared" si="12"/>
        <v>338520</v>
      </c>
      <c r="M17" s="267">
        <f t="shared" si="12"/>
        <v>409500</v>
      </c>
      <c r="N17" s="267">
        <f t="shared" si="12"/>
        <v>507780</v>
      </c>
      <c r="O17" s="956">
        <f t="shared" ref="O17:O22" si="13">SUM(C17:N17)</f>
        <v>2032030</v>
      </c>
      <c r="P17" s="266">
        <f t="shared" ref="P17:AA17" si="14">P7*$B17</f>
        <v>186186.00000000003</v>
      </c>
      <c r="Q17" s="267">
        <f t="shared" si="14"/>
        <v>280280.00000000006</v>
      </c>
      <c r="R17" s="267">
        <f t="shared" si="14"/>
        <v>294794.50000000006</v>
      </c>
      <c r="S17" s="267">
        <f t="shared" si="14"/>
        <v>285285.00000000006</v>
      </c>
      <c r="T17" s="267">
        <f t="shared" si="14"/>
        <v>372372.00000000006</v>
      </c>
      <c r="U17" s="267">
        <f t="shared" si="14"/>
        <v>240240</v>
      </c>
      <c r="V17" s="267">
        <f t="shared" si="14"/>
        <v>217217</v>
      </c>
      <c r="W17" s="267">
        <f t="shared" si="14"/>
        <v>186186.00000000003</v>
      </c>
      <c r="X17" s="267">
        <f t="shared" si="14"/>
        <v>210210</v>
      </c>
      <c r="Y17" s="267">
        <f t="shared" si="14"/>
        <v>372372.00000000006</v>
      </c>
      <c r="Z17" s="267">
        <f t="shared" si="14"/>
        <v>450450</v>
      </c>
      <c r="AA17" s="267">
        <f t="shared" si="14"/>
        <v>558558.00000000012</v>
      </c>
      <c r="AB17" s="947">
        <f t="shared" ref="AB17:AB22" si="15">SUM(P17:AA17)</f>
        <v>3654150.5</v>
      </c>
      <c r="AC17" s="266">
        <f t="shared" ref="AC17:AL19" si="16">AC7*$B17</f>
        <v>2032030</v>
      </c>
      <c r="AD17" s="267">
        <f t="shared" si="16"/>
        <v>3654150.5</v>
      </c>
      <c r="AE17" s="267">
        <f t="shared" si="16"/>
        <v>4019565.5500000003</v>
      </c>
      <c r="AF17" s="267">
        <f t="shared" si="16"/>
        <v>4421522.1050000004</v>
      </c>
      <c r="AG17" s="267">
        <f t="shared" si="16"/>
        <v>4863674.3155000005</v>
      </c>
      <c r="AH17" s="267">
        <f t="shared" si="16"/>
        <v>5252768.2607400017</v>
      </c>
      <c r="AI17" s="267">
        <f t="shared" si="16"/>
        <v>5672989.7215992017</v>
      </c>
      <c r="AJ17" s="267">
        <f t="shared" si="16"/>
        <v>6126828.8993271384</v>
      </c>
      <c r="AK17" s="267">
        <f t="shared" si="16"/>
        <v>6616975.2112733107</v>
      </c>
      <c r="AL17" s="281">
        <f t="shared" si="16"/>
        <v>7146333.2281751754</v>
      </c>
    </row>
    <row r="18" spans="1:38" ht="15" customHeight="1" x14ac:dyDescent="0.2">
      <c r="A18" s="960" t="str">
        <f>+A8</f>
        <v>Ensaladas</v>
      </c>
      <c r="B18" s="961">
        <f>B8*'19 Resumen'!$L$7</f>
        <v>28</v>
      </c>
      <c r="C18" s="269">
        <f t="shared" ref="C18:N18" si="17">C8*$B18</f>
        <v>0</v>
      </c>
      <c r="D18" s="270">
        <f t="shared" si="17"/>
        <v>0</v>
      </c>
      <c r="E18" s="270">
        <f t="shared" si="17"/>
        <v>0</v>
      </c>
      <c r="F18" s="270">
        <f t="shared" si="17"/>
        <v>0</v>
      </c>
      <c r="G18" s="270">
        <f t="shared" si="17"/>
        <v>0</v>
      </c>
      <c r="H18" s="270">
        <f t="shared" si="17"/>
        <v>94080</v>
      </c>
      <c r="I18" s="270">
        <f t="shared" si="17"/>
        <v>85064</v>
      </c>
      <c r="J18" s="270">
        <f t="shared" si="17"/>
        <v>72912</v>
      </c>
      <c r="K18" s="270">
        <f t="shared" si="17"/>
        <v>82320</v>
      </c>
      <c r="L18" s="270">
        <f t="shared" si="17"/>
        <v>145824</v>
      </c>
      <c r="M18" s="270">
        <f t="shared" si="17"/>
        <v>176400</v>
      </c>
      <c r="N18" s="270">
        <f t="shared" si="17"/>
        <v>218736</v>
      </c>
      <c r="O18" s="957">
        <f t="shared" si="13"/>
        <v>875336</v>
      </c>
      <c r="P18" s="269">
        <f t="shared" ref="P18:AA18" si="18">P8*$B18</f>
        <v>80203.199999999997</v>
      </c>
      <c r="Q18" s="270">
        <f t="shared" si="18"/>
        <v>120736</v>
      </c>
      <c r="R18" s="270">
        <f t="shared" si="18"/>
        <v>126988.40000000001</v>
      </c>
      <c r="S18" s="270">
        <f t="shared" si="18"/>
        <v>122892</v>
      </c>
      <c r="T18" s="270">
        <f t="shared" si="18"/>
        <v>160406.39999999999</v>
      </c>
      <c r="U18" s="270">
        <f t="shared" si="18"/>
        <v>103488.00000000001</v>
      </c>
      <c r="V18" s="270">
        <f t="shared" si="18"/>
        <v>93570.400000000009</v>
      </c>
      <c r="W18" s="270">
        <f t="shared" si="18"/>
        <v>80203.199999999997</v>
      </c>
      <c r="X18" s="270">
        <f t="shared" si="18"/>
        <v>90552.000000000015</v>
      </c>
      <c r="Y18" s="270">
        <f t="shared" si="18"/>
        <v>160406.39999999999</v>
      </c>
      <c r="Z18" s="270">
        <f t="shared" si="18"/>
        <v>194040.00000000003</v>
      </c>
      <c r="AA18" s="270">
        <f t="shared" si="18"/>
        <v>240609.60000000003</v>
      </c>
      <c r="AB18" s="948">
        <f t="shared" si="15"/>
        <v>1574095.6</v>
      </c>
      <c r="AC18" s="269">
        <f t="shared" ref="AC18:AL18" si="19">AC8*$B18</f>
        <v>875336</v>
      </c>
      <c r="AD18" s="270">
        <f t="shared" si="19"/>
        <v>1574095.6000000003</v>
      </c>
      <c r="AE18" s="270">
        <f t="shared" si="19"/>
        <v>1731505.1600000004</v>
      </c>
      <c r="AF18" s="270">
        <f t="shared" si="19"/>
        <v>1904655.6760000004</v>
      </c>
      <c r="AG18" s="270">
        <f t="shared" si="19"/>
        <v>2095121.2436000006</v>
      </c>
      <c r="AH18" s="270">
        <f t="shared" si="19"/>
        <v>2262730.9430880006</v>
      </c>
      <c r="AI18" s="270">
        <f t="shared" si="19"/>
        <v>2443749.4185350407</v>
      </c>
      <c r="AJ18" s="270">
        <f t="shared" si="19"/>
        <v>2639249.3720178441</v>
      </c>
      <c r="AK18" s="270">
        <f t="shared" si="19"/>
        <v>2850389.3217792716</v>
      </c>
      <c r="AL18" s="282">
        <f t="shared" si="19"/>
        <v>3078420.4675216135</v>
      </c>
    </row>
    <row r="19" spans="1:38" ht="15" customHeight="1" x14ac:dyDescent="0.2">
      <c r="A19" s="960" t="str">
        <f t="shared" ref="A19:A21" si="20">+A9</f>
        <v>Entradas</v>
      </c>
      <c r="B19" s="961">
        <f>B9*'19 Resumen'!$L$7</f>
        <v>33.75</v>
      </c>
      <c r="C19" s="269">
        <f t="shared" ref="C19:N19" si="21">C9*$B19</f>
        <v>0</v>
      </c>
      <c r="D19" s="270">
        <f t="shared" si="21"/>
        <v>0</v>
      </c>
      <c r="E19" s="270">
        <f t="shared" si="21"/>
        <v>0</v>
      </c>
      <c r="F19" s="270">
        <f t="shared" si="21"/>
        <v>0</v>
      </c>
      <c r="G19" s="270">
        <f t="shared" si="21"/>
        <v>0</v>
      </c>
      <c r="H19" s="270">
        <f t="shared" si="21"/>
        <v>68040</v>
      </c>
      <c r="I19" s="270">
        <f t="shared" si="21"/>
        <v>61519.5</v>
      </c>
      <c r="J19" s="270">
        <f t="shared" si="21"/>
        <v>52730.999999999993</v>
      </c>
      <c r="K19" s="270">
        <f t="shared" si="21"/>
        <v>59535</v>
      </c>
      <c r="L19" s="270">
        <f t="shared" si="21"/>
        <v>105461.99999999999</v>
      </c>
      <c r="M19" s="270">
        <f t="shared" si="21"/>
        <v>127575</v>
      </c>
      <c r="N19" s="270">
        <f t="shared" si="21"/>
        <v>158193.00000000003</v>
      </c>
      <c r="O19" s="957">
        <f t="shared" si="13"/>
        <v>633055.5</v>
      </c>
      <c r="P19" s="269">
        <f t="shared" ref="P19:AA19" si="22">P9*$B19</f>
        <v>58004.100000000006</v>
      </c>
      <c r="Q19" s="270">
        <f t="shared" si="22"/>
        <v>87318.000000000015</v>
      </c>
      <c r="R19" s="270">
        <f t="shared" si="22"/>
        <v>91839.824999999997</v>
      </c>
      <c r="S19" s="270">
        <f t="shared" si="22"/>
        <v>88877.25</v>
      </c>
      <c r="T19" s="270">
        <f t="shared" si="22"/>
        <v>116008.20000000001</v>
      </c>
      <c r="U19" s="270">
        <f t="shared" si="22"/>
        <v>74844.000000000015</v>
      </c>
      <c r="V19" s="270">
        <f t="shared" si="22"/>
        <v>67671.450000000012</v>
      </c>
      <c r="W19" s="270">
        <f t="shared" si="22"/>
        <v>58004.100000000006</v>
      </c>
      <c r="X19" s="270">
        <f t="shared" si="22"/>
        <v>65488.5</v>
      </c>
      <c r="Y19" s="270">
        <f t="shared" si="22"/>
        <v>116008.20000000001</v>
      </c>
      <c r="Z19" s="270">
        <f t="shared" si="22"/>
        <v>140332.5</v>
      </c>
      <c r="AA19" s="270">
        <f t="shared" si="22"/>
        <v>174012.3</v>
      </c>
      <c r="AB19" s="948">
        <f t="shared" si="15"/>
        <v>1138408.425</v>
      </c>
      <c r="AC19" s="269">
        <f t="shared" si="16"/>
        <v>633055.5</v>
      </c>
      <c r="AD19" s="270">
        <f t="shared" si="16"/>
        <v>1138408.425</v>
      </c>
      <c r="AE19" s="270">
        <f t="shared" si="16"/>
        <v>1252249.2675000003</v>
      </c>
      <c r="AF19" s="270">
        <f t="shared" si="16"/>
        <v>1377474.1942500004</v>
      </c>
      <c r="AG19" s="270">
        <f t="shared" si="16"/>
        <v>1515221.6136750006</v>
      </c>
      <c r="AH19" s="270">
        <f t="shared" si="16"/>
        <v>1636439.3427690009</v>
      </c>
      <c r="AI19" s="270">
        <f t="shared" si="16"/>
        <v>1767354.4901905209</v>
      </c>
      <c r="AJ19" s="270">
        <f t="shared" si="16"/>
        <v>1908742.8494057627</v>
      </c>
      <c r="AK19" s="270">
        <f t="shared" si="16"/>
        <v>2061442.2773582239</v>
      </c>
      <c r="AL19" s="282">
        <f t="shared" si="16"/>
        <v>2226357.6595468819</v>
      </c>
    </row>
    <row r="20" spans="1:38" ht="15" customHeight="1" x14ac:dyDescent="0.2">
      <c r="A20" s="960" t="str">
        <f t="shared" si="20"/>
        <v>Postres</v>
      </c>
      <c r="B20" s="961">
        <f>B10*'19 Resumen'!$L$7</f>
        <v>42</v>
      </c>
      <c r="C20" s="269">
        <f t="shared" ref="C20:N20" si="23">C10*$B20</f>
        <v>0</v>
      </c>
      <c r="D20" s="270">
        <f t="shared" si="23"/>
        <v>0</v>
      </c>
      <c r="E20" s="270">
        <f t="shared" si="23"/>
        <v>0</v>
      </c>
      <c r="F20" s="270">
        <f t="shared" si="23"/>
        <v>0</v>
      </c>
      <c r="G20" s="270">
        <f t="shared" si="23"/>
        <v>0</v>
      </c>
      <c r="H20" s="270">
        <f t="shared" si="23"/>
        <v>90720</v>
      </c>
      <c r="I20" s="270">
        <f t="shared" si="23"/>
        <v>82025.999999999985</v>
      </c>
      <c r="J20" s="270">
        <f t="shared" si="23"/>
        <v>70308</v>
      </c>
      <c r="K20" s="270">
        <f t="shared" si="23"/>
        <v>79379.999999999985</v>
      </c>
      <c r="L20" s="270">
        <f t="shared" si="23"/>
        <v>140616</v>
      </c>
      <c r="M20" s="270">
        <f t="shared" si="23"/>
        <v>170100</v>
      </c>
      <c r="N20" s="270">
        <f t="shared" si="23"/>
        <v>210924</v>
      </c>
      <c r="O20" s="957">
        <f t="shared" si="13"/>
        <v>844074</v>
      </c>
      <c r="P20" s="269">
        <f t="shared" ref="P20:AA20" si="24">P10*$B20</f>
        <v>77338.8</v>
      </c>
      <c r="Q20" s="270">
        <f t="shared" si="24"/>
        <v>116424</v>
      </c>
      <c r="R20" s="270">
        <f t="shared" si="24"/>
        <v>122453.1</v>
      </c>
      <c r="S20" s="270">
        <f t="shared" si="24"/>
        <v>118503.00000000001</v>
      </c>
      <c r="T20" s="270">
        <f t="shared" si="24"/>
        <v>154677.6</v>
      </c>
      <c r="U20" s="270">
        <f t="shared" si="24"/>
        <v>99792</v>
      </c>
      <c r="V20" s="270">
        <f t="shared" si="24"/>
        <v>90228.599999999991</v>
      </c>
      <c r="W20" s="270">
        <f t="shared" si="24"/>
        <v>77338.8</v>
      </c>
      <c r="X20" s="270">
        <f t="shared" si="24"/>
        <v>87318</v>
      </c>
      <c r="Y20" s="270">
        <f t="shared" si="24"/>
        <v>154677.6</v>
      </c>
      <c r="Z20" s="270">
        <f t="shared" si="24"/>
        <v>187110</v>
      </c>
      <c r="AA20" s="270">
        <f t="shared" si="24"/>
        <v>232016.40000000002</v>
      </c>
      <c r="AB20" s="948">
        <f t="shared" si="15"/>
        <v>1517877.9</v>
      </c>
      <c r="AC20" s="269">
        <f t="shared" ref="AC20:AL20" si="25">AC10*$B20</f>
        <v>844074</v>
      </c>
      <c r="AD20" s="270">
        <f t="shared" si="25"/>
        <v>1517877.9</v>
      </c>
      <c r="AE20" s="270">
        <f t="shared" si="25"/>
        <v>1669665.69</v>
      </c>
      <c r="AF20" s="270">
        <f t="shared" si="25"/>
        <v>1836632.2590000001</v>
      </c>
      <c r="AG20" s="270">
        <f t="shared" si="25"/>
        <v>2020295.4849000003</v>
      </c>
      <c r="AH20" s="270">
        <f t="shared" si="25"/>
        <v>2181919.1236920003</v>
      </c>
      <c r="AI20" s="270">
        <f t="shared" si="25"/>
        <v>2356472.6535873609</v>
      </c>
      <c r="AJ20" s="270">
        <f t="shared" si="25"/>
        <v>2544990.4658743497</v>
      </c>
      <c r="AK20" s="270">
        <f t="shared" si="25"/>
        <v>2748589.7031442979</v>
      </c>
      <c r="AL20" s="282">
        <f t="shared" si="25"/>
        <v>2968476.8793958416</v>
      </c>
    </row>
    <row r="21" spans="1:38" ht="15" customHeight="1" x14ac:dyDescent="0.2">
      <c r="A21" s="960" t="str">
        <f t="shared" si="20"/>
        <v>Bebidas sin licor</v>
      </c>
      <c r="B21" s="961">
        <f>B11*'19 Resumen'!$L$7</f>
        <v>4</v>
      </c>
      <c r="C21" s="269">
        <f t="shared" ref="C21:N21" si="26">C11*$B21</f>
        <v>0</v>
      </c>
      <c r="D21" s="270">
        <f t="shared" si="26"/>
        <v>0</v>
      </c>
      <c r="E21" s="270">
        <f t="shared" si="26"/>
        <v>0</v>
      </c>
      <c r="F21" s="270">
        <f t="shared" si="26"/>
        <v>0</v>
      </c>
      <c r="G21" s="270">
        <f t="shared" si="26"/>
        <v>0</v>
      </c>
      <c r="H21" s="270">
        <f t="shared" si="26"/>
        <v>13440</v>
      </c>
      <c r="I21" s="270">
        <f t="shared" si="26"/>
        <v>12152</v>
      </c>
      <c r="J21" s="270">
        <f t="shared" si="26"/>
        <v>10416</v>
      </c>
      <c r="K21" s="270">
        <f t="shared" si="26"/>
        <v>11760</v>
      </c>
      <c r="L21" s="270">
        <f t="shared" si="26"/>
        <v>20832</v>
      </c>
      <c r="M21" s="270">
        <f t="shared" si="26"/>
        <v>25200</v>
      </c>
      <c r="N21" s="270">
        <f t="shared" si="26"/>
        <v>31248</v>
      </c>
      <c r="O21" s="957">
        <f t="shared" si="13"/>
        <v>125048</v>
      </c>
      <c r="P21" s="269">
        <f t="shared" ref="P21:AA21" si="27">P11*$B21</f>
        <v>11457.6</v>
      </c>
      <c r="Q21" s="270">
        <f t="shared" si="27"/>
        <v>17248</v>
      </c>
      <c r="R21" s="270">
        <f t="shared" si="27"/>
        <v>18141.2</v>
      </c>
      <c r="S21" s="270">
        <f t="shared" si="27"/>
        <v>17556</v>
      </c>
      <c r="T21" s="270">
        <f t="shared" si="27"/>
        <v>22915.200000000001</v>
      </c>
      <c r="U21" s="270">
        <f t="shared" si="27"/>
        <v>14784.000000000002</v>
      </c>
      <c r="V21" s="270">
        <f t="shared" si="27"/>
        <v>13367.2</v>
      </c>
      <c r="W21" s="270">
        <f t="shared" si="27"/>
        <v>11457.6</v>
      </c>
      <c r="X21" s="270">
        <f t="shared" si="27"/>
        <v>12936.000000000002</v>
      </c>
      <c r="Y21" s="270">
        <f t="shared" si="27"/>
        <v>22915.200000000001</v>
      </c>
      <c r="Z21" s="270">
        <f t="shared" si="27"/>
        <v>27720.000000000004</v>
      </c>
      <c r="AA21" s="270">
        <f t="shared" si="27"/>
        <v>34372.800000000003</v>
      </c>
      <c r="AB21" s="948">
        <f t="shared" si="15"/>
        <v>224870.80000000005</v>
      </c>
      <c r="AC21" s="269">
        <f t="shared" ref="AC21:AL21" si="28">AC11*$B21</f>
        <v>125048</v>
      </c>
      <c r="AD21" s="270">
        <f t="shared" si="28"/>
        <v>224870.80000000005</v>
      </c>
      <c r="AE21" s="270">
        <f t="shared" si="28"/>
        <v>247357.88000000006</v>
      </c>
      <c r="AF21" s="270">
        <f t="shared" si="28"/>
        <v>272093.66800000006</v>
      </c>
      <c r="AG21" s="270">
        <f t="shared" si="28"/>
        <v>299303.03480000008</v>
      </c>
      <c r="AH21" s="270">
        <f t="shared" si="28"/>
        <v>323247.27758400008</v>
      </c>
      <c r="AI21" s="270">
        <f t="shared" si="28"/>
        <v>349107.05979072012</v>
      </c>
      <c r="AJ21" s="270">
        <f t="shared" si="28"/>
        <v>377035.62457397772</v>
      </c>
      <c r="AK21" s="270">
        <f t="shared" si="28"/>
        <v>407198.47453989595</v>
      </c>
      <c r="AL21" s="282">
        <f t="shared" si="28"/>
        <v>439774.35250308766</v>
      </c>
    </row>
    <row r="22" spans="1:38" ht="15" customHeight="1" thickBot="1" x14ac:dyDescent="0.25">
      <c r="A22" s="962" t="str">
        <f>+A12</f>
        <v>Bebidas con licor</v>
      </c>
      <c r="B22" s="963">
        <f>B12*'19 Resumen'!$L$7</f>
        <v>27</v>
      </c>
      <c r="C22" s="946">
        <f t="shared" ref="C22:N22" si="29">C12*$B22</f>
        <v>0</v>
      </c>
      <c r="D22" s="274">
        <f t="shared" si="29"/>
        <v>0</v>
      </c>
      <c r="E22" s="274">
        <f t="shared" si="29"/>
        <v>0</v>
      </c>
      <c r="F22" s="274">
        <f t="shared" si="29"/>
        <v>0</v>
      </c>
      <c r="G22" s="274">
        <f t="shared" si="29"/>
        <v>0</v>
      </c>
      <c r="H22" s="274">
        <f t="shared" si="29"/>
        <v>38880</v>
      </c>
      <c r="I22" s="274">
        <f t="shared" si="29"/>
        <v>35154</v>
      </c>
      <c r="J22" s="274">
        <f t="shared" si="29"/>
        <v>30132</v>
      </c>
      <c r="K22" s="274">
        <f t="shared" si="29"/>
        <v>34020</v>
      </c>
      <c r="L22" s="274">
        <f t="shared" si="29"/>
        <v>60264</v>
      </c>
      <c r="M22" s="274">
        <f t="shared" si="29"/>
        <v>72900</v>
      </c>
      <c r="N22" s="274">
        <f t="shared" si="29"/>
        <v>90396</v>
      </c>
      <c r="O22" s="283">
        <f t="shared" si="13"/>
        <v>361746</v>
      </c>
      <c r="P22" s="946">
        <f t="shared" ref="P22:AA22" si="30">P12*$B22</f>
        <v>33145.200000000004</v>
      </c>
      <c r="Q22" s="274">
        <f t="shared" si="30"/>
        <v>49896.000000000007</v>
      </c>
      <c r="R22" s="274">
        <f t="shared" si="30"/>
        <v>52479.9</v>
      </c>
      <c r="S22" s="274">
        <f t="shared" si="30"/>
        <v>50787.000000000007</v>
      </c>
      <c r="T22" s="274">
        <f t="shared" si="30"/>
        <v>66290.400000000009</v>
      </c>
      <c r="U22" s="274">
        <f t="shared" si="30"/>
        <v>42768.000000000007</v>
      </c>
      <c r="V22" s="274">
        <f t="shared" si="30"/>
        <v>38669.4</v>
      </c>
      <c r="W22" s="274">
        <f t="shared" si="30"/>
        <v>33145.200000000004</v>
      </c>
      <c r="X22" s="274">
        <f t="shared" si="30"/>
        <v>37422</v>
      </c>
      <c r="Y22" s="274">
        <f t="shared" si="30"/>
        <v>66290.400000000009</v>
      </c>
      <c r="Z22" s="274">
        <f t="shared" si="30"/>
        <v>80190.000000000015</v>
      </c>
      <c r="AA22" s="274">
        <f t="shared" si="30"/>
        <v>99435.6</v>
      </c>
      <c r="AB22" s="949">
        <f t="shared" si="15"/>
        <v>650519.10000000009</v>
      </c>
      <c r="AC22" s="946">
        <f t="shared" ref="AC22:AL22" si="31">AC12*$B22</f>
        <v>361746</v>
      </c>
      <c r="AD22" s="274">
        <f t="shared" si="31"/>
        <v>650519.1</v>
      </c>
      <c r="AE22" s="274">
        <f t="shared" si="31"/>
        <v>715571.01</v>
      </c>
      <c r="AF22" s="274">
        <f t="shared" si="31"/>
        <v>787128.11100000015</v>
      </c>
      <c r="AG22" s="274">
        <f t="shared" si="31"/>
        <v>865840.9221000002</v>
      </c>
      <c r="AH22" s="274">
        <f t="shared" si="31"/>
        <v>935108.19586800039</v>
      </c>
      <c r="AI22" s="274">
        <f t="shared" si="31"/>
        <v>1009916.8515374404</v>
      </c>
      <c r="AJ22" s="274">
        <f t="shared" si="31"/>
        <v>1090710.1996604358</v>
      </c>
      <c r="AK22" s="274">
        <f t="shared" si="31"/>
        <v>1177967.0156332708</v>
      </c>
      <c r="AL22" s="707">
        <f t="shared" si="31"/>
        <v>1272204.3768839324</v>
      </c>
    </row>
    <row r="23" spans="1:38" ht="15" customHeight="1" thickBot="1" x14ac:dyDescent="0.25">
      <c r="A23" s="1870" t="s">
        <v>75</v>
      </c>
      <c r="B23" s="1871"/>
      <c r="C23" s="953">
        <f t="shared" ref="C23:AL23" si="32">SUM(C17:C22)</f>
        <v>0</v>
      </c>
      <c r="D23" s="954">
        <f t="shared" si="32"/>
        <v>0</v>
      </c>
      <c r="E23" s="954">
        <f t="shared" si="32"/>
        <v>0</v>
      </c>
      <c r="F23" s="954">
        <f t="shared" si="32"/>
        <v>0</v>
      </c>
      <c r="G23" s="954">
        <f t="shared" si="32"/>
        <v>0</v>
      </c>
      <c r="H23" s="954">
        <f t="shared" si="32"/>
        <v>523560</v>
      </c>
      <c r="I23" s="954">
        <f t="shared" si="32"/>
        <v>473385.5</v>
      </c>
      <c r="J23" s="954">
        <f t="shared" si="32"/>
        <v>405759</v>
      </c>
      <c r="K23" s="954">
        <f t="shared" si="32"/>
        <v>458115</v>
      </c>
      <c r="L23" s="954">
        <f t="shared" si="32"/>
        <v>811518</v>
      </c>
      <c r="M23" s="954">
        <f t="shared" si="32"/>
        <v>981675</v>
      </c>
      <c r="N23" s="954">
        <f t="shared" si="32"/>
        <v>1217277</v>
      </c>
      <c r="O23" s="955">
        <f t="shared" si="32"/>
        <v>4871289.5</v>
      </c>
      <c r="P23" s="985">
        <f t="shared" si="32"/>
        <v>446334.9</v>
      </c>
      <c r="Q23" s="986">
        <f t="shared" si="32"/>
        <v>671902</v>
      </c>
      <c r="R23" s="986">
        <f t="shared" si="32"/>
        <v>706696.92500000005</v>
      </c>
      <c r="S23" s="986">
        <f t="shared" si="32"/>
        <v>683900.25000000012</v>
      </c>
      <c r="T23" s="986">
        <f t="shared" si="32"/>
        <v>892669.8</v>
      </c>
      <c r="U23" s="986">
        <f t="shared" si="32"/>
        <v>575916</v>
      </c>
      <c r="V23" s="986">
        <f t="shared" si="32"/>
        <v>520724.05000000005</v>
      </c>
      <c r="W23" s="986">
        <f t="shared" si="32"/>
        <v>446334.9</v>
      </c>
      <c r="X23" s="986">
        <f t="shared" si="32"/>
        <v>503926.5</v>
      </c>
      <c r="Y23" s="986">
        <f t="shared" si="32"/>
        <v>892669.8</v>
      </c>
      <c r="Z23" s="986">
        <f t="shared" si="32"/>
        <v>1079842.5</v>
      </c>
      <c r="AA23" s="986">
        <f t="shared" si="32"/>
        <v>1339004.7000000004</v>
      </c>
      <c r="AB23" s="987">
        <f t="shared" si="32"/>
        <v>8759922.3249999993</v>
      </c>
      <c r="AC23" s="988">
        <f t="shared" si="32"/>
        <v>4871289.5</v>
      </c>
      <c r="AD23" s="989">
        <f t="shared" si="32"/>
        <v>8759922.3250000011</v>
      </c>
      <c r="AE23" s="989">
        <f t="shared" si="32"/>
        <v>9635914.557500001</v>
      </c>
      <c r="AF23" s="989">
        <f t="shared" si="32"/>
        <v>10599506.013250001</v>
      </c>
      <c r="AG23" s="989">
        <f t="shared" si="32"/>
        <v>11659456.614575002</v>
      </c>
      <c r="AH23" s="989">
        <f t="shared" si="32"/>
        <v>12592213.143741004</v>
      </c>
      <c r="AI23" s="989">
        <f t="shared" si="32"/>
        <v>13599590.195240282</v>
      </c>
      <c r="AJ23" s="989">
        <f t="shared" si="32"/>
        <v>14687557.410859507</v>
      </c>
      <c r="AK23" s="989">
        <f t="shared" si="32"/>
        <v>15862562.003728272</v>
      </c>
      <c r="AL23" s="987">
        <f t="shared" si="32"/>
        <v>17131566.964026533</v>
      </c>
    </row>
    <row r="24" spans="1:38" ht="15" customHeight="1" x14ac:dyDescent="0.2">
      <c r="A24" s="107"/>
      <c r="B24" s="286"/>
      <c r="C24" s="107"/>
      <c r="D24" s="107"/>
      <c r="E24" s="107"/>
      <c r="F24" s="107"/>
      <c r="G24" s="107"/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89"/>
      <c r="AC24" s="89"/>
      <c r="AD24" s="89"/>
      <c r="AE24" s="89"/>
      <c r="AF24" s="89"/>
      <c r="AG24" s="89"/>
      <c r="AH24" s="89"/>
      <c r="AI24" s="89"/>
      <c r="AJ24" s="89"/>
      <c r="AK24" s="89"/>
      <c r="AL24" s="89"/>
    </row>
    <row r="25" spans="1:38" ht="13.5" thickBot="1" x14ac:dyDescent="0.25">
      <c r="A25" s="89"/>
      <c r="B25" s="287"/>
      <c r="C25" s="89"/>
      <c r="D25" s="89"/>
      <c r="E25" s="89"/>
      <c r="F25" s="89"/>
      <c r="G25" s="89"/>
      <c r="H25" s="89"/>
      <c r="I25" s="89"/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  <c r="AD25" s="89"/>
      <c r="AE25" s="89"/>
      <c r="AF25" s="89"/>
      <c r="AG25" s="89"/>
      <c r="AH25" s="89"/>
      <c r="AI25" s="89"/>
      <c r="AJ25" s="89"/>
      <c r="AK25" s="89"/>
      <c r="AL25" s="89"/>
    </row>
    <row r="26" spans="1:38" ht="15.75" thickBot="1" x14ac:dyDescent="0.35">
      <c r="A26" s="89"/>
      <c r="B26" s="287"/>
      <c r="C26" s="1278" t="str">
        <f>IF(C3&lt;'19 Resumen'!$M$4, "No Ventas", "OK")</f>
        <v>No Ventas</v>
      </c>
      <c r="D26" s="1278" t="str">
        <f>IF(D3&lt;'19 Resumen'!$M$4, "No Ventas", "OK")</f>
        <v>No Ventas</v>
      </c>
      <c r="E26" s="1278" t="str">
        <f>IF(E3&lt;'19 Resumen'!$M$4, "No Ventas", "OK")</f>
        <v>No Ventas</v>
      </c>
      <c r="F26" s="1278" t="str">
        <f>IF(F3&lt;'19 Resumen'!$M$4, "No Ventas", "OK")</f>
        <v>No Ventas</v>
      </c>
      <c r="G26" s="1278" t="str">
        <f>IF(G3&lt;'19 Resumen'!$M$4, "No Ventas", "OK")</f>
        <v>No Ventas</v>
      </c>
      <c r="H26" s="1278" t="str">
        <f>IF(H3&lt;'19 Resumen'!$M$4, "No Ventas", "OK")</f>
        <v>OK</v>
      </c>
      <c r="I26" s="1278" t="str">
        <f>IF(I3&lt;'19 Resumen'!$M$4, "No Ventas", "OK")</f>
        <v>OK</v>
      </c>
      <c r="J26" s="1278" t="str">
        <f>IF(J3&lt;'19 Resumen'!$M$4, "No Ventas", "OK")</f>
        <v>OK</v>
      </c>
      <c r="K26" s="1278" t="str">
        <f>IF(K3&lt;'19 Resumen'!$M$4, "No Ventas", "OK")</f>
        <v>OK</v>
      </c>
      <c r="L26" s="1278" t="str">
        <f>IF(L3&lt;'19 Resumen'!$M$4, "No Ventas", "OK")</f>
        <v>OK</v>
      </c>
      <c r="M26" s="1278" t="str">
        <f>IF(M3&lt;'19 Resumen'!$M$4, "No Ventas", "OK")</f>
        <v>OK</v>
      </c>
      <c r="N26" s="1278" t="str">
        <f>IF(N3&lt;'19 Resumen'!$M$4, "No Ventas", "OK")</f>
        <v>OK</v>
      </c>
      <c r="O26" s="28"/>
      <c r="P26" s="288" t="str">
        <f>IF(P3&lt;'19 Resumen'!$M$3, "No inicia", "OK")</f>
        <v>OK</v>
      </c>
      <c r="Q26" s="289" t="str">
        <f>IF(Q3&lt;'19 Resumen'!$M$3, "No inicia", "OK")</f>
        <v>OK</v>
      </c>
      <c r="R26" s="289" t="str">
        <f>IF(R3&lt;'19 Resumen'!$M$3, "No inicia", "OK")</f>
        <v>OK</v>
      </c>
      <c r="S26" s="289" t="str">
        <f>IF(S3&lt;'19 Resumen'!$M$3, "No inicia", "OK")</f>
        <v>OK</v>
      </c>
      <c r="T26" s="289" t="str">
        <f>IF(T3&lt;'19 Resumen'!$M$3, "No inicia", "OK")</f>
        <v>OK</v>
      </c>
      <c r="U26" s="289" t="str">
        <f>IF(U3&lt;'19 Resumen'!$M$3, "No inicia", "OK")</f>
        <v>OK</v>
      </c>
      <c r="V26" s="289" t="str">
        <f>IF(V3&lt;'19 Resumen'!$M$3, "No inicia", "OK")</f>
        <v>OK</v>
      </c>
      <c r="W26" s="289" t="str">
        <f>IF(W3&lt;'19 Resumen'!$M$3, "No inicia", "OK")</f>
        <v>OK</v>
      </c>
      <c r="X26" s="289" t="str">
        <f>IF(X3&lt;'19 Resumen'!$M$3, "No inicia", "OK")</f>
        <v>OK</v>
      </c>
      <c r="Y26" s="289" t="str">
        <f>IF(Y3&lt;'19 Resumen'!$M$3, "No inicia", "OK")</f>
        <v>OK</v>
      </c>
      <c r="Z26" s="289" t="str">
        <f>IF(Z3&lt;'19 Resumen'!$M$3, "No inicia", "OK")</f>
        <v>OK</v>
      </c>
      <c r="AA26" s="290" t="str">
        <f>IF(AA3&lt;'19 Resumen'!$M$3, "No inicia", "OK")</f>
        <v>OK</v>
      </c>
      <c r="AB26" s="89"/>
      <c r="AC26" s="291">
        <f>+O23</f>
        <v>4871289.5</v>
      </c>
      <c r="AD26" s="292">
        <f t="shared" ref="AD26:AL26" si="33">+AD23/AC23-1</f>
        <v>0.79827586206896584</v>
      </c>
      <c r="AE26" s="292">
        <f t="shared" si="33"/>
        <v>0.10000000000000009</v>
      </c>
      <c r="AF26" s="292">
        <f t="shared" si="33"/>
        <v>9.9999999999999867E-2</v>
      </c>
      <c r="AG26" s="292">
        <f t="shared" si="33"/>
        <v>0.10000000000000009</v>
      </c>
      <c r="AH26" s="292">
        <f t="shared" si="33"/>
        <v>8.0000000000000071E-2</v>
      </c>
      <c r="AI26" s="292">
        <f t="shared" si="33"/>
        <v>7.9999999999999849E-2</v>
      </c>
      <c r="AJ26" s="292">
        <f t="shared" si="33"/>
        <v>8.0000000000000293E-2</v>
      </c>
      <c r="AK26" s="292">
        <f t="shared" si="33"/>
        <v>8.0000000000000293E-2</v>
      </c>
      <c r="AL26" s="293">
        <f t="shared" si="33"/>
        <v>7.9999999999999849E-2</v>
      </c>
    </row>
    <row r="27" spans="1:38" ht="15" x14ac:dyDescent="0.3">
      <c r="A27" s="89"/>
      <c r="B27" s="287"/>
      <c r="C27" s="628"/>
      <c r="D27" s="628"/>
      <c r="E27" s="628"/>
      <c r="F27" s="628"/>
      <c r="G27" s="628"/>
      <c r="H27" s="628"/>
      <c r="I27" s="628"/>
      <c r="J27" s="628"/>
      <c r="K27" s="628"/>
      <c r="L27" s="628"/>
      <c r="M27" s="628"/>
      <c r="N27" s="628"/>
      <c r="O27" s="28"/>
      <c r="P27" s="628"/>
      <c r="Q27" s="628"/>
      <c r="R27" s="628"/>
      <c r="S27" s="628"/>
      <c r="T27" s="628"/>
      <c r="U27" s="628"/>
      <c r="V27" s="628"/>
      <c r="W27" s="628"/>
      <c r="X27" s="628"/>
      <c r="Y27" s="628"/>
      <c r="Z27" s="628"/>
      <c r="AA27" s="628"/>
      <c r="AB27" s="89"/>
      <c r="AC27" s="629"/>
      <c r="AD27" s="630"/>
      <c r="AE27" s="630"/>
      <c r="AF27" s="630"/>
      <c r="AG27" s="630"/>
      <c r="AH27" s="630"/>
      <c r="AI27" s="630"/>
      <c r="AJ27" s="630"/>
      <c r="AK27" s="630"/>
      <c r="AL27" s="630"/>
    </row>
    <row r="28" spans="1:38" x14ac:dyDescent="0.2">
      <c r="B28" s="13"/>
      <c r="C28" s="12"/>
    </row>
    <row r="29" spans="1:38" ht="15" x14ac:dyDescent="0.3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</row>
    <row r="30" spans="1:38" ht="15" x14ac:dyDescent="0.3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</row>
    <row r="31" spans="1:38" ht="15" x14ac:dyDescent="0.3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</row>
    <row r="32" spans="1:38" ht="15" x14ac:dyDescent="0.3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</row>
    <row r="33" spans="1:27" ht="15" x14ac:dyDescent="0.3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</row>
    <row r="34" spans="1:27" ht="15" x14ac:dyDescent="0.3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</row>
    <row r="35" spans="1:27" ht="15" x14ac:dyDescent="0.3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</row>
    <row r="36" spans="1:27" ht="15" x14ac:dyDescent="0.3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</row>
    <row r="37" spans="1:27" ht="15" x14ac:dyDescent="0.3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</row>
    <row r="38" spans="1:27" ht="15" x14ac:dyDescent="0.3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</row>
    <row r="39" spans="1:27" ht="15" x14ac:dyDescent="0.3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</row>
    <row r="40" spans="1:27" ht="15" x14ac:dyDescent="0.3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</row>
    <row r="41" spans="1:27" ht="15" x14ac:dyDescent="0.3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</row>
    <row r="42" spans="1:27" ht="15" x14ac:dyDescent="0.3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</row>
    <row r="43" spans="1:27" ht="15" x14ac:dyDescent="0.3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</row>
    <row r="44" spans="1:27" ht="15" x14ac:dyDescent="0.3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</row>
    <row r="45" spans="1:27" ht="15" x14ac:dyDescent="0.3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</row>
    <row r="46" spans="1:27" ht="15" x14ac:dyDescent="0.3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</row>
    <row r="47" spans="1:27" ht="15" x14ac:dyDescent="0.3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</row>
    <row r="48" spans="1:27" ht="15" x14ac:dyDescent="0.3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</row>
    <row r="49" spans="1:27" ht="15" x14ac:dyDescent="0.3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</row>
    <row r="50" spans="1:27" ht="15" x14ac:dyDescent="0.3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</row>
    <row r="51" spans="1:27" ht="15" x14ac:dyDescent="0.3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</row>
    <row r="52" spans="1:27" ht="15" x14ac:dyDescent="0.3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</row>
    <row r="53" spans="1:27" ht="15" x14ac:dyDescent="0.3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</row>
    <row r="54" spans="1:27" ht="15" x14ac:dyDescent="0.3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</row>
    <row r="55" spans="1:27" ht="15" x14ac:dyDescent="0.3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</row>
    <row r="56" spans="1:27" ht="15" x14ac:dyDescent="0.3">
      <c r="A56" s="6"/>
    </row>
    <row r="57" spans="1:27" ht="15" x14ac:dyDescent="0.3">
      <c r="A57" s="6"/>
    </row>
  </sheetData>
  <mergeCells count="33">
    <mergeCell ref="A14:A16"/>
    <mergeCell ref="AC4:AL4"/>
    <mergeCell ref="AC14:AL14"/>
    <mergeCell ref="C15:N15"/>
    <mergeCell ref="O5:O6"/>
    <mergeCell ref="P15:AA15"/>
    <mergeCell ref="AB15:AB16"/>
    <mergeCell ref="AB5:AB6"/>
    <mergeCell ref="C14:O14"/>
    <mergeCell ref="P14:AB14"/>
    <mergeCell ref="O15:O16"/>
    <mergeCell ref="C1:I1"/>
    <mergeCell ref="C2:O2"/>
    <mergeCell ref="B4:B6"/>
    <mergeCell ref="AC1:AF1"/>
    <mergeCell ref="A1:B1"/>
    <mergeCell ref="A2:B2"/>
    <mergeCell ref="A23:B23"/>
    <mergeCell ref="B14:B16"/>
    <mergeCell ref="AJ1:AL1"/>
    <mergeCell ref="AC2:AL2"/>
    <mergeCell ref="P4:AB4"/>
    <mergeCell ref="P1:V1"/>
    <mergeCell ref="W1:Y1"/>
    <mergeCell ref="Z1:AB1"/>
    <mergeCell ref="P2:AB2"/>
    <mergeCell ref="A4:A6"/>
    <mergeCell ref="P5:AA5"/>
    <mergeCell ref="C5:N5"/>
    <mergeCell ref="C4:O4"/>
    <mergeCell ref="AG1:AI1"/>
    <mergeCell ref="J1:L1"/>
    <mergeCell ref="M1:O1"/>
  </mergeCells>
  <phoneticPr fontId="20" type="noConversion"/>
  <pageMargins left="0.39370078740157483" right="0.39370078740157483" top="0.78740157480314965" bottom="0.59055118110236227" header="0.39370078740157483" footer="0.39370078740157483"/>
  <pageSetup scale="45" fitToWidth="3" orientation="landscape" blackAndWhite="1" horizontalDpi="4294967293" verticalDpi="300" r:id="rId1"/>
  <headerFooter alignWithMargins="0">
    <oddHeader>&amp;C&amp;"Arial,Negrita"&amp;7Estudio de Factibilidad para el establecimiento de un mercado de mariscos en Hermosillo, Sonora</oddHeader>
    <oddFooter>&amp;L&amp;"Arial,Normal"&amp;7&amp;F - Hoja: &amp;A&amp;C&amp;"Arial,Normal"&amp;7&amp;D&amp;R&amp;"Arial,Normal"&amp;7&amp;P de  &amp;N</oddFooter>
  </headerFooter>
  <colBreaks count="2" manualBreakCount="2">
    <brk id="15" max="60" man="1"/>
    <brk id="28" max="60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1">
    <tabColor rgb="FF00B050"/>
  </sheetPr>
  <dimension ref="A1:AN29"/>
  <sheetViews>
    <sheetView view="pageBreakPreview" zoomScale="60" zoomScaleNormal="69" workbookViewId="0">
      <pane xSplit="4" ySplit="6" topLeftCell="E7" activePane="bottomRight" state="frozen"/>
      <selection activeCell="K44" sqref="K44"/>
      <selection pane="topRight" activeCell="K44" sqref="K44"/>
      <selection pane="bottomLeft" activeCell="K44" sqref="K44"/>
      <selection pane="bottomRight" activeCell="E40" sqref="E40"/>
    </sheetView>
  </sheetViews>
  <sheetFormatPr baseColWidth="10" defaultColWidth="9" defaultRowHeight="12.75" x14ac:dyDescent="0.2"/>
  <cols>
    <col min="1" max="1" width="30.75" style="1" customWidth="1"/>
    <col min="2" max="4" width="9.625" style="1" customWidth="1"/>
    <col min="5" max="16" width="11.75" style="1" customWidth="1"/>
    <col min="17" max="17" width="14.625" style="1" customWidth="1"/>
    <col min="18" max="29" width="11.75" style="1" customWidth="1"/>
    <col min="30" max="30" width="14.25" style="1" customWidth="1"/>
    <col min="31" max="40" width="15.25" style="1" customWidth="1"/>
    <col min="41" max="16384" width="9" style="1"/>
  </cols>
  <sheetData>
    <row r="1" spans="1:40" s="8" customFormat="1" ht="21.6" customHeight="1" x14ac:dyDescent="0.3">
      <c r="A1" s="1910" t="s">
        <v>390</v>
      </c>
      <c r="B1" s="1911"/>
      <c r="C1" s="1911"/>
      <c r="D1" s="1912"/>
      <c r="E1" s="1913" t="str">
        <f>+'19 Resumen'!D4</f>
        <v>La Lasaña de Garfield</v>
      </c>
      <c r="F1" s="1643"/>
      <c r="G1" s="1643"/>
      <c r="H1" s="1643"/>
      <c r="I1" s="1643"/>
      <c r="J1" s="1643"/>
      <c r="K1" s="1643"/>
      <c r="L1" s="1643" t="str">
        <f>+'19 Resumen'!D5</f>
        <v>Martin Delgado</v>
      </c>
      <c r="M1" s="1643"/>
      <c r="N1" s="1643"/>
      <c r="O1" s="1643" t="str">
        <f>+'19 Resumen'!D6</f>
        <v>Grupo Delgado´s</v>
      </c>
      <c r="P1" s="1643"/>
      <c r="Q1" s="1652"/>
      <c r="R1" s="1642" t="str">
        <f>+E1</f>
        <v>La Lasaña de Garfield</v>
      </c>
      <c r="S1" s="1643"/>
      <c r="T1" s="1643"/>
      <c r="U1" s="1643"/>
      <c r="V1" s="1643"/>
      <c r="W1" s="1643"/>
      <c r="X1" s="1643"/>
      <c r="Y1" s="1643" t="str">
        <f>+L1</f>
        <v>Martin Delgado</v>
      </c>
      <c r="Z1" s="1643"/>
      <c r="AA1" s="1643"/>
      <c r="AB1" s="1643" t="str">
        <f>+O1</f>
        <v>Grupo Delgado´s</v>
      </c>
      <c r="AC1" s="1643"/>
      <c r="AD1" s="1652"/>
      <c r="AE1" s="1623" t="str">
        <f>+R1</f>
        <v>La Lasaña de Garfield</v>
      </c>
      <c r="AF1" s="1624"/>
      <c r="AG1" s="1624"/>
      <c r="AH1" s="1624"/>
      <c r="AI1" s="1624" t="str">
        <f>+Y1</f>
        <v>Martin Delgado</v>
      </c>
      <c r="AJ1" s="1624"/>
      <c r="AK1" s="1624"/>
      <c r="AL1" s="1624" t="str">
        <f>+AB1</f>
        <v>Grupo Delgado´s</v>
      </c>
      <c r="AM1" s="1624"/>
      <c r="AN1" s="1633"/>
    </row>
    <row r="2" spans="1:40" s="8" customFormat="1" ht="21.6" customHeight="1" thickBot="1" x14ac:dyDescent="0.35">
      <c r="A2" s="1915">
        <f>+'19 Resumen'!D2</f>
        <v>42747</v>
      </c>
      <c r="B2" s="1916"/>
      <c r="C2" s="1916"/>
      <c r="D2" s="1917"/>
      <c r="E2" s="1918" t="s">
        <v>242</v>
      </c>
      <c r="F2" s="1635"/>
      <c r="G2" s="1635"/>
      <c r="H2" s="1635"/>
      <c r="I2" s="1635"/>
      <c r="J2" s="1635"/>
      <c r="K2" s="1635"/>
      <c r="L2" s="1635"/>
      <c r="M2" s="1635"/>
      <c r="N2" s="1635"/>
      <c r="O2" s="1635"/>
      <c r="P2" s="1635"/>
      <c r="Q2" s="1636"/>
      <c r="R2" s="1634" t="str">
        <f>+E2</f>
        <v>Personal de Producción</v>
      </c>
      <c r="S2" s="1635"/>
      <c r="T2" s="1635"/>
      <c r="U2" s="1635"/>
      <c r="V2" s="1635"/>
      <c r="W2" s="1635"/>
      <c r="X2" s="1635"/>
      <c r="Y2" s="1635"/>
      <c r="Z2" s="1635"/>
      <c r="AA2" s="1635"/>
      <c r="AB2" s="1635"/>
      <c r="AC2" s="1635"/>
      <c r="AD2" s="1636"/>
      <c r="AE2" s="1637" t="str">
        <f>+R2</f>
        <v>Personal de Producción</v>
      </c>
      <c r="AF2" s="1638"/>
      <c r="AG2" s="1638"/>
      <c r="AH2" s="1638"/>
      <c r="AI2" s="1638"/>
      <c r="AJ2" s="1638"/>
      <c r="AK2" s="1638"/>
      <c r="AL2" s="1638"/>
      <c r="AM2" s="1638"/>
      <c r="AN2" s="1639"/>
    </row>
    <row r="3" spans="1:40" s="8" customFormat="1" ht="21.6" hidden="1" customHeight="1" thickBot="1" x14ac:dyDescent="0.35">
      <c r="A3" s="194"/>
      <c r="B3" s="195"/>
      <c r="C3" s="195"/>
      <c r="D3" s="196"/>
      <c r="E3" s="197">
        <v>1</v>
      </c>
      <c r="F3" s="198">
        <f t="shared" ref="F3:P3" si="0">+E3+1</f>
        <v>2</v>
      </c>
      <c r="G3" s="198">
        <f t="shared" si="0"/>
        <v>3</v>
      </c>
      <c r="H3" s="198">
        <f t="shared" si="0"/>
        <v>4</v>
      </c>
      <c r="I3" s="198">
        <f t="shared" si="0"/>
        <v>5</v>
      </c>
      <c r="J3" s="198">
        <f t="shared" si="0"/>
        <v>6</v>
      </c>
      <c r="K3" s="198">
        <f t="shared" si="0"/>
        <v>7</v>
      </c>
      <c r="L3" s="198">
        <f t="shared" si="0"/>
        <v>8</v>
      </c>
      <c r="M3" s="198">
        <f t="shared" si="0"/>
        <v>9</v>
      </c>
      <c r="N3" s="198">
        <f t="shared" si="0"/>
        <v>10</v>
      </c>
      <c r="O3" s="198">
        <f t="shared" si="0"/>
        <v>11</v>
      </c>
      <c r="P3" s="198">
        <f t="shared" si="0"/>
        <v>12</v>
      </c>
      <c r="Q3" s="199"/>
      <c r="R3" s="200">
        <f>+P3+1</f>
        <v>13</v>
      </c>
      <c r="S3" s="198">
        <f t="shared" ref="S3:AC3" si="1">+R3+1</f>
        <v>14</v>
      </c>
      <c r="T3" s="198">
        <f t="shared" si="1"/>
        <v>15</v>
      </c>
      <c r="U3" s="198">
        <f t="shared" si="1"/>
        <v>16</v>
      </c>
      <c r="V3" s="198">
        <f t="shared" si="1"/>
        <v>17</v>
      </c>
      <c r="W3" s="198">
        <f t="shared" si="1"/>
        <v>18</v>
      </c>
      <c r="X3" s="198">
        <f t="shared" si="1"/>
        <v>19</v>
      </c>
      <c r="Y3" s="198">
        <f t="shared" si="1"/>
        <v>20</v>
      </c>
      <c r="Z3" s="198">
        <f t="shared" si="1"/>
        <v>21</v>
      </c>
      <c r="AA3" s="198">
        <f t="shared" si="1"/>
        <v>22</v>
      </c>
      <c r="AB3" s="198">
        <f t="shared" si="1"/>
        <v>23</v>
      </c>
      <c r="AC3" s="198">
        <f t="shared" si="1"/>
        <v>24</v>
      </c>
      <c r="AD3" s="201"/>
      <c r="AE3" s="202"/>
      <c r="AF3" s="203"/>
      <c r="AG3" s="203"/>
      <c r="AH3" s="203"/>
      <c r="AI3" s="203"/>
      <c r="AJ3" s="203"/>
      <c r="AK3" s="203"/>
      <c r="AL3" s="203"/>
      <c r="AM3" s="203"/>
      <c r="AN3" s="201"/>
    </row>
    <row r="4" spans="1:40" s="8" customFormat="1" ht="21.6" customHeight="1" thickBot="1" x14ac:dyDescent="0.35">
      <c r="A4" s="1904" t="s">
        <v>135</v>
      </c>
      <c r="B4" s="1908" t="s">
        <v>320</v>
      </c>
      <c r="C4" s="1908" t="s">
        <v>359</v>
      </c>
      <c r="D4" s="1906" t="s">
        <v>360</v>
      </c>
      <c r="E4" s="1628" t="s">
        <v>78</v>
      </c>
      <c r="F4" s="1628"/>
      <c r="G4" s="1628"/>
      <c r="H4" s="1628"/>
      <c r="I4" s="1628"/>
      <c r="J4" s="1628"/>
      <c r="K4" s="1628"/>
      <c r="L4" s="1628"/>
      <c r="M4" s="1628"/>
      <c r="N4" s="1628"/>
      <c r="O4" s="1628"/>
      <c r="P4" s="1628"/>
      <c r="Q4" s="1629"/>
      <c r="R4" s="1627" t="str">
        <f>+E4</f>
        <v>Requerimientos</v>
      </c>
      <c r="S4" s="1628"/>
      <c r="T4" s="1628"/>
      <c r="U4" s="1628"/>
      <c r="V4" s="1628"/>
      <c r="W4" s="1628"/>
      <c r="X4" s="1628"/>
      <c r="Y4" s="1628"/>
      <c r="Z4" s="1628"/>
      <c r="AA4" s="1628"/>
      <c r="AB4" s="1628"/>
      <c r="AC4" s="1628"/>
      <c r="AD4" s="1629"/>
      <c r="AE4" s="1627" t="str">
        <f>+R4</f>
        <v>Requerimientos</v>
      </c>
      <c r="AF4" s="1628"/>
      <c r="AG4" s="1628"/>
      <c r="AH4" s="1628"/>
      <c r="AI4" s="1628"/>
      <c r="AJ4" s="1628"/>
      <c r="AK4" s="1628"/>
      <c r="AL4" s="1628"/>
      <c r="AM4" s="1628"/>
      <c r="AN4" s="1629"/>
    </row>
    <row r="5" spans="1:40" s="9" customFormat="1" ht="21.6" customHeight="1" x14ac:dyDescent="0.3">
      <c r="A5" s="1905"/>
      <c r="B5" s="1909"/>
      <c r="C5" s="1909"/>
      <c r="D5" s="1907"/>
      <c r="E5" s="1607">
        <f>+'9 Ingresos'!D5</f>
        <v>2017</v>
      </c>
      <c r="F5" s="1608"/>
      <c r="G5" s="1608"/>
      <c r="H5" s="1608"/>
      <c r="I5" s="1608"/>
      <c r="J5" s="1608"/>
      <c r="K5" s="1608"/>
      <c r="L5" s="1608"/>
      <c r="M5" s="1608"/>
      <c r="N5" s="1608"/>
      <c r="O5" s="1608"/>
      <c r="P5" s="1612"/>
      <c r="Q5" s="1914" t="s">
        <v>130</v>
      </c>
      <c r="R5" s="1607">
        <f>+E5+1</f>
        <v>2018</v>
      </c>
      <c r="S5" s="1608"/>
      <c r="T5" s="1608"/>
      <c r="U5" s="1608"/>
      <c r="V5" s="1608"/>
      <c r="W5" s="1608"/>
      <c r="X5" s="1608"/>
      <c r="Y5" s="1608"/>
      <c r="Z5" s="1608"/>
      <c r="AA5" s="1608"/>
      <c r="AB5" s="1608"/>
      <c r="AC5" s="1612"/>
      <c r="AD5" s="1443" t="s">
        <v>132</v>
      </c>
      <c r="AE5" s="204" t="s">
        <v>1</v>
      </c>
      <c r="AF5" s="205" t="s">
        <v>1</v>
      </c>
      <c r="AG5" s="205" t="s">
        <v>1</v>
      </c>
      <c r="AH5" s="205" t="s">
        <v>1</v>
      </c>
      <c r="AI5" s="205" t="s">
        <v>1</v>
      </c>
      <c r="AJ5" s="205" t="s">
        <v>1</v>
      </c>
      <c r="AK5" s="205" t="s">
        <v>1</v>
      </c>
      <c r="AL5" s="205" t="s">
        <v>1</v>
      </c>
      <c r="AM5" s="205" t="s">
        <v>1</v>
      </c>
      <c r="AN5" s="206" t="s">
        <v>1</v>
      </c>
    </row>
    <row r="6" spans="1:40" s="9" customFormat="1" ht="21.6" customHeight="1" thickBot="1" x14ac:dyDescent="0.4">
      <c r="A6" s="1905"/>
      <c r="B6" s="1909"/>
      <c r="C6" s="1909"/>
      <c r="D6" s="1907"/>
      <c r="E6" s="207" t="s">
        <v>60</v>
      </c>
      <c r="F6" s="208" t="s">
        <v>61</v>
      </c>
      <c r="G6" s="208" t="s">
        <v>62</v>
      </c>
      <c r="H6" s="208" t="s">
        <v>63</v>
      </c>
      <c r="I6" s="208" t="s">
        <v>64</v>
      </c>
      <c r="J6" s="208" t="s">
        <v>65</v>
      </c>
      <c r="K6" s="208" t="s">
        <v>66</v>
      </c>
      <c r="L6" s="208" t="s">
        <v>67</v>
      </c>
      <c r="M6" s="208" t="s">
        <v>68</v>
      </c>
      <c r="N6" s="208" t="s">
        <v>69</v>
      </c>
      <c r="O6" s="208" t="s">
        <v>70</v>
      </c>
      <c r="P6" s="209" t="s">
        <v>71</v>
      </c>
      <c r="Q6" s="1613"/>
      <c r="R6" s="298" t="str">
        <f>+E6</f>
        <v>Ene</v>
      </c>
      <c r="S6" s="298" t="str">
        <f t="shared" ref="S6:AC6" si="2">+F6</f>
        <v>Feb</v>
      </c>
      <c r="T6" s="298" t="str">
        <f t="shared" si="2"/>
        <v>Mar</v>
      </c>
      <c r="U6" s="298" t="str">
        <f t="shared" si="2"/>
        <v>Abr</v>
      </c>
      <c r="V6" s="298" t="str">
        <f t="shared" si="2"/>
        <v>May</v>
      </c>
      <c r="W6" s="298" t="str">
        <f t="shared" si="2"/>
        <v>Jun</v>
      </c>
      <c r="X6" s="298" t="str">
        <f t="shared" si="2"/>
        <v>Jul</v>
      </c>
      <c r="Y6" s="298" t="str">
        <f t="shared" si="2"/>
        <v>Ago</v>
      </c>
      <c r="Z6" s="298" t="str">
        <f t="shared" si="2"/>
        <v>Sep</v>
      </c>
      <c r="AA6" s="298" t="str">
        <f t="shared" si="2"/>
        <v>Oct</v>
      </c>
      <c r="AB6" s="298" t="str">
        <f t="shared" si="2"/>
        <v>Nov</v>
      </c>
      <c r="AC6" s="298" t="str">
        <f t="shared" si="2"/>
        <v>Dic</v>
      </c>
      <c r="AD6" s="1613"/>
      <c r="AE6" s="210">
        <f>+E5</f>
        <v>2017</v>
      </c>
      <c r="AF6" s="211">
        <f>+AE6+1</f>
        <v>2018</v>
      </c>
      <c r="AG6" s="211">
        <f t="shared" ref="AG6:AN6" si="3">+AF6+1</f>
        <v>2019</v>
      </c>
      <c r="AH6" s="211">
        <f t="shared" si="3"/>
        <v>2020</v>
      </c>
      <c r="AI6" s="211">
        <f t="shared" si="3"/>
        <v>2021</v>
      </c>
      <c r="AJ6" s="211">
        <f t="shared" si="3"/>
        <v>2022</v>
      </c>
      <c r="AK6" s="211">
        <f t="shared" si="3"/>
        <v>2023</v>
      </c>
      <c r="AL6" s="211">
        <f t="shared" si="3"/>
        <v>2024</v>
      </c>
      <c r="AM6" s="211">
        <f t="shared" si="3"/>
        <v>2025</v>
      </c>
      <c r="AN6" s="212">
        <f t="shared" si="3"/>
        <v>2026</v>
      </c>
    </row>
    <row r="7" spans="1:40" ht="15" customHeight="1" x14ac:dyDescent="0.2">
      <c r="A7" s="708" t="s">
        <v>416</v>
      </c>
      <c r="B7" s="709">
        <v>2</v>
      </c>
      <c r="C7" s="710">
        <v>8000</v>
      </c>
      <c r="D7" s="1280">
        <f>C7*'19 Resumen'!$L$8</f>
        <v>8000</v>
      </c>
      <c r="E7" s="213">
        <f>IF(E$3&lt;('19 Resumen'!$M$4-1),0,$D7*$B7)</f>
        <v>0</v>
      </c>
      <c r="F7" s="214">
        <f>IF(F$3&lt;('19 Resumen'!$M$4-1),0,$D7*$B7)</f>
        <v>0</v>
      </c>
      <c r="G7" s="214">
        <f>IF(G$3&lt;('19 Resumen'!$M$4-1),0,$D7*$B7)</f>
        <v>0</v>
      </c>
      <c r="H7" s="214">
        <f>IF(H$3&lt;('19 Resumen'!$M$4-1),0,$D7*$B7)</f>
        <v>0</v>
      </c>
      <c r="I7" s="214">
        <f>IF(I$3&lt;('19 Resumen'!$M$4-1),0,$D7*$B7)</f>
        <v>16000</v>
      </c>
      <c r="J7" s="214">
        <f>IF(J$3&lt;('19 Resumen'!$M$4-1),0,$D7*$B7)</f>
        <v>16000</v>
      </c>
      <c r="K7" s="214">
        <f>IF(K$3&lt;('19 Resumen'!$M$4-1),0,$D7*$B7)</f>
        <v>16000</v>
      </c>
      <c r="L7" s="214">
        <f>IF(L$3&lt;('19 Resumen'!$M$4-1),0,$D7*$B7)</f>
        <v>16000</v>
      </c>
      <c r="M7" s="214">
        <f>IF(M$3&lt;('19 Resumen'!$M$4-1),0,$D7*$B7)</f>
        <v>16000</v>
      </c>
      <c r="N7" s="214">
        <f>IF(N$3&lt;('19 Resumen'!$M$4-1),0,$D7*$B7)</f>
        <v>16000</v>
      </c>
      <c r="O7" s="214">
        <f>IF(O$3&lt;('19 Resumen'!$M$4-1),0,$D7*$B7)</f>
        <v>16000</v>
      </c>
      <c r="P7" s="214">
        <f>IF(P$3&lt;('19 Resumen'!$M$4-1),0,$D7*$B7)</f>
        <v>16000</v>
      </c>
      <c r="Q7" s="215">
        <f>SUM(E7:P7)</f>
        <v>128000</v>
      </c>
      <c r="R7" s="213">
        <f>+$D7*$B7*(1+'19 Resumen'!$E$31)</f>
        <v>17280</v>
      </c>
      <c r="S7" s="214">
        <f>+$D7*$B7*(1+'19 Resumen'!$E$31)</f>
        <v>17280</v>
      </c>
      <c r="T7" s="214">
        <f>+$D7*$B7*(1+'19 Resumen'!$E$31)</f>
        <v>17280</v>
      </c>
      <c r="U7" s="214">
        <f>+$D7*$B7*(1+'19 Resumen'!$E$31)</f>
        <v>17280</v>
      </c>
      <c r="V7" s="214">
        <f>+$D7*$B7*(1+'19 Resumen'!$E$31)</f>
        <v>17280</v>
      </c>
      <c r="W7" s="214">
        <f>+$D7*$B7*(1+'19 Resumen'!$E$31)</f>
        <v>17280</v>
      </c>
      <c r="X7" s="214">
        <f>+$D7*$B7*(1+'19 Resumen'!$E$31)</f>
        <v>17280</v>
      </c>
      <c r="Y7" s="214">
        <f>+$D7*$B7*(1+'19 Resumen'!$E$31)</f>
        <v>17280</v>
      </c>
      <c r="Z7" s="214">
        <f>+$D7*$B7*(1+'19 Resumen'!$E$31)</f>
        <v>17280</v>
      </c>
      <c r="AA7" s="214">
        <f>+$D7*$B7*(1+'19 Resumen'!$E$31)</f>
        <v>17280</v>
      </c>
      <c r="AB7" s="214">
        <f>+$D7*$B7*(1+'19 Resumen'!$E$31)</f>
        <v>17280</v>
      </c>
      <c r="AC7" s="214">
        <f>+$D7*$B7*(1+'19 Resumen'!$E$31)</f>
        <v>17280</v>
      </c>
      <c r="AD7" s="693">
        <f>SUM(R7:AC7)</f>
        <v>207360</v>
      </c>
      <c r="AE7" s="216">
        <f>+Q7</f>
        <v>128000</v>
      </c>
      <c r="AF7" s="217">
        <f>+AD7</f>
        <v>207360</v>
      </c>
      <c r="AG7" s="218">
        <f>+AF7*(1+'19 Resumen'!$F$31)</f>
        <v>223948.80000000002</v>
      </c>
      <c r="AH7" s="218">
        <f>+AG7*(1+'19 Resumen'!$G$31)</f>
        <v>241864.70400000003</v>
      </c>
      <c r="AI7" s="218">
        <f>+AH7*(1+'19 Resumen'!$H$31)</f>
        <v>261213.88032000005</v>
      </c>
      <c r="AJ7" s="218">
        <f>+AI7*(1+'19 Resumen'!$I$31)</f>
        <v>277931.56866048009</v>
      </c>
      <c r="AK7" s="218">
        <f>+AJ7*(1+'19 Resumen'!$I$31)</f>
        <v>295719.18905475084</v>
      </c>
      <c r="AL7" s="218">
        <f>+AK7*(1+'19 Resumen'!$I$31)</f>
        <v>314645.2171542549</v>
      </c>
      <c r="AM7" s="218">
        <f>+AL7*(1+'19 Resumen'!$I$31)</f>
        <v>334782.51105212723</v>
      </c>
      <c r="AN7" s="696">
        <f>+AM7*(1+'19 Resumen'!$I$31)</f>
        <v>356208.59175946336</v>
      </c>
    </row>
    <row r="8" spans="1:40" ht="15" customHeight="1" x14ac:dyDescent="0.2">
      <c r="A8" s="708" t="s">
        <v>417</v>
      </c>
      <c r="B8" s="709">
        <v>4</v>
      </c>
      <c r="C8" s="710">
        <v>6000</v>
      </c>
      <c r="D8" s="1280">
        <f>C8*'19 Resumen'!$L$8</f>
        <v>6000</v>
      </c>
      <c r="E8" s="219">
        <f>IF(E$3&lt;('19 Resumen'!$M$4-1),0,$D8*$B8)</f>
        <v>0</v>
      </c>
      <c r="F8" s="220">
        <f>IF(F$3&lt;('19 Resumen'!$M$4-1),0,$D8*$B8)</f>
        <v>0</v>
      </c>
      <c r="G8" s="220">
        <f>IF(G$3&lt;('19 Resumen'!$M$4-1),0,$D8*$B8)</f>
        <v>0</v>
      </c>
      <c r="H8" s="220">
        <f>IF(H$3&lt;('19 Resumen'!$M$4-1),0,$D8*$B8)</f>
        <v>0</v>
      </c>
      <c r="I8" s="220">
        <f>IF(I$3&lt;('19 Resumen'!$M$4-1),0,$D8*$B8)</f>
        <v>24000</v>
      </c>
      <c r="J8" s="220">
        <f>IF(J$3&lt;('19 Resumen'!$M$4-1),0,$D8*$B8)</f>
        <v>24000</v>
      </c>
      <c r="K8" s="220">
        <f>IF(K$3&lt;('19 Resumen'!$M$4-1),0,$D8*$B8)</f>
        <v>24000</v>
      </c>
      <c r="L8" s="220">
        <f>IF(L$3&lt;('19 Resumen'!$M$4-1),0,$D8*$B8)</f>
        <v>24000</v>
      </c>
      <c r="M8" s="220">
        <f>IF(M$3&lt;('19 Resumen'!$M$4-1),0,$D8*$B8)</f>
        <v>24000</v>
      </c>
      <c r="N8" s="220">
        <f>IF(N$3&lt;('19 Resumen'!$M$4-1),0,$D8*$B8)</f>
        <v>24000</v>
      </c>
      <c r="O8" s="220">
        <f>IF(O$3&lt;('19 Resumen'!$M$4-1),0,$D8*$B8)</f>
        <v>24000</v>
      </c>
      <c r="P8" s="220">
        <f>IF(P$3&lt;('19 Resumen'!$M$4-1),0,$D8*$B8)</f>
        <v>24000</v>
      </c>
      <c r="Q8" s="221">
        <f t="shared" ref="Q8:Q13" si="4">SUM(E8:P8)</f>
        <v>192000</v>
      </c>
      <c r="R8" s="219">
        <f>+$D8*$B8*(1+'19 Resumen'!$E$31)</f>
        <v>25920</v>
      </c>
      <c r="S8" s="220">
        <f>+$D8*$B8*(1+'19 Resumen'!$E$31)</f>
        <v>25920</v>
      </c>
      <c r="T8" s="220">
        <f>+$D8*$B8*(1+'19 Resumen'!$E$31)</f>
        <v>25920</v>
      </c>
      <c r="U8" s="220">
        <f>+$D8*$B8*(1+'19 Resumen'!$E$31)</f>
        <v>25920</v>
      </c>
      <c r="V8" s="220">
        <f>+$D8*$B8*(1+'19 Resumen'!$E$31)</f>
        <v>25920</v>
      </c>
      <c r="W8" s="220">
        <f>+$D8*$B8*(1+'19 Resumen'!$E$31)</f>
        <v>25920</v>
      </c>
      <c r="X8" s="220">
        <f>+$D8*$B8*(1+'19 Resumen'!$E$31)</f>
        <v>25920</v>
      </c>
      <c r="Y8" s="220">
        <f>+$D8*$B8*(1+'19 Resumen'!$E$31)</f>
        <v>25920</v>
      </c>
      <c r="Z8" s="220">
        <f>+$D8*$B8*(1+'19 Resumen'!$E$31)</f>
        <v>25920</v>
      </c>
      <c r="AA8" s="220">
        <f>+$D8*$B8*(1+'19 Resumen'!$E$31)</f>
        <v>25920</v>
      </c>
      <c r="AB8" s="220">
        <f>+$D8*$B8*(1+'19 Resumen'!$E$31)</f>
        <v>25920</v>
      </c>
      <c r="AC8" s="220">
        <f>+$D8*$B8*(1+'19 Resumen'!$E$31)</f>
        <v>25920</v>
      </c>
      <c r="AD8" s="694">
        <f t="shared" ref="AD8:AD13" si="5">SUM(R8:AC8)</f>
        <v>311040</v>
      </c>
      <c r="AE8" s="222">
        <f t="shared" ref="AE8:AE13" si="6">+Q8</f>
        <v>192000</v>
      </c>
      <c r="AF8" s="223">
        <f t="shared" ref="AF8:AF13" si="7">+AD8</f>
        <v>311040</v>
      </c>
      <c r="AG8" s="224">
        <f>+AF8*(1+'19 Resumen'!$F$31)</f>
        <v>335923.20000000001</v>
      </c>
      <c r="AH8" s="223">
        <f>+AG8*(1+'19 Resumen'!$G$31)</f>
        <v>362797.05600000004</v>
      </c>
      <c r="AI8" s="223">
        <f>+AH8*(1+'19 Resumen'!$H$31)</f>
        <v>391820.82048000005</v>
      </c>
      <c r="AJ8" s="223">
        <f>+AI8*(1+'19 Resumen'!$I$31)</f>
        <v>416897.35299072007</v>
      </c>
      <c r="AK8" s="223">
        <f>+AJ8*(1+'19 Resumen'!$I$31)</f>
        <v>443578.7835821262</v>
      </c>
      <c r="AL8" s="223">
        <f>+AK8*(1+'19 Resumen'!$I$31)</f>
        <v>471967.8257313823</v>
      </c>
      <c r="AM8" s="223">
        <f>+AL8*(1+'19 Resumen'!$I$31)</f>
        <v>502173.76657819079</v>
      </c>
      <c r="AN8" s="225">
        <f>+AM8*(1+'19 Resumen'!$I$31)</f>
        <v>534312.88763919508</v>
      </c>
    </row>
    <row r="9" spans="1:40" ht="15" customHeight="1" x14ac:dyDescent="0.2">
      <c r="A9" s="708" t="s">
        <v>419</v>
      </c>
      <c r="B9" s="709">
        <v>1</v>
      </c>
      <c r="C9" s="710">
        <v>8000</v>
      </c>
      <c r="D9" s="1280">
        <f>C9*'19 Resumen'!$L$8</f>
        <v>8000</v>
      </c>
      <c r="E9" s="219">
        <f>IF(E$3&lt;('19 Resumen'!$M$4-1),0,$D9*$B9)</f>
        <v>0</v>
      </c>
      <c r="F9" s="220">
        <f>IF(F$3&lt;('19 Resumen'!$M$4-1),0,$D9*$B9)</f>
        <v>0</v>
      </c>
      <c r="G9" s="220">
        <f>IF(G$3&lt;('19 Resumen'!$M$4-1),0,$D9*$B9)</f>
        <v>0</v>
      </c>
      <c r="H9" s="220">
        <f>IF(H$3&lt;('19 Resumen'!$M$4-1),0,$D9*$B9)</f>
        <v>0</v>
      </c>
      <c r="I9" s="220">
        <f>IF(I$3&lt;('19 Resumen'!$M$4-1),0,$D9*$B9)</f>
        <v>8000</v>
      </c>
      <c r="J9" s="220">
        <f>IF(J$3&lt;('19 Resumen'!$M$4-1),0,$D9*$B9)</f>
        <v>8000</v>
      </c>
      <c r="K9" s="220">
        <f>IF(K$3&lt;('19 Resumen'!$M$4-1),0,$D9*$B9)</f>
        <v>8000</v>
      </c>
      <c r="L9" s="220">
        <f>IF(L$3&lt;('19 Resumen'!$M$4-1),0,$D9*$B9)</f>
        <v>8000</v>
      </c>
      <c r="M9" s="220">
        <f>IF(M$3&lt;('19 Resumen'!$M$4-1),0,$D9*$B9)</f>
        <v>8000</v>
      </c>
      <c r="N9" s="220">
        <f>IF(N$3&lt;('19 Resumen'!$M$4-1),0,$D9*$B9)</f>
        <v>8000</v>
      </c>
      <c r="O9" s="220">
        <f>IF(O$3&lt;('19 Resumen'!$M$4-1),0,$D9*$B9)</f>
        <v>8000</v>
      </c>
      <c r="P9" s="220">
        <f>IF(P$3&lt;('19 Resumen'!$M$4-1),0,$D9*$B9)</f>
        <v>8000</v>
      </c>
      <c r="Q9" s="221">
        <f t="shared" si="4"/>
        <v>64000</v>
      </c>
      <c r="R9" s="219">
        <f>+$D9*$B9*(1+'19 Resumen'!$E$31)</f>
        <v>8640</v>
      </c>
      <c r="S9" s="220">
        <f>+$D9*$B9*(1+'19 Resumen'!$E$31)</f>
        <v>8640</v>
      </c>
      <c r="T9" s="220">
        <f>+$D9*$B9*(1+'19 Resumen'!$E$31)</f>
        <v>8640</v>
      </c>
      <c r="U9" s="220">
        <f>+$D9*$B9*(1+'19 Resumen'!$E$31)</f>
        <v>8640</v>
      </c>
      <c r="V9" s="220">
        <f>+$D9*$B9*(1+'19 Resumen'!$E$31)</f>
        <v>8640</v>
      </c>
      <c r="W9" s="220">
        <f>+$D9*$B9*(1+'19 Resumen'!$E$31)</f>
        <v>8640</v>
      </c>
      <c r="X9" s="220">
        <f>+$D9*$B9*(1+'19 Resumen'!$E$31)</f>
        <v>8640</v>
      </c>
      <c r="Y9" s="220">
        <f>+$D9*$B9*(1+'19 Resumen'!$E$31)</f>
        <v>8640</v>
      </c>
      <c r="Z9" s="220">
        <f>+$D9*$B9*(1+'19 Resumen'!$E$31)</f>
        <v>8640</v>
      </c>
      <c r="AA9" s="220">
        <f>+$D9*$B9*(1+'19 Resumen'!$E$31)</f>
        <v>8640</v>
      </c>
      <c r="AB9" s="220">
        <f>+$D9*$B9*(1+'19 Resumen'!$E$31)</f>
        <v>8640</v>
      </c>
      <c r="AC9" s="220">
        <f>+$D9*$B9*(1+'19 Resumen'!$E$31)</f>
        <v>8640</v>
      </c>
      <c r="AD9" s="694">
        <f t="shared" si="5"/>
        <v>103680</v>
      </c>
      <c r="AE9" s="222">
        <f>+Q9</f>
        <v>64000</v>
      </c>
      <c r="AF9" s="223">
        <f>+AD9</f>
        <v>103680</v>
      </c>
      <c r="AG9" s="224">
        <f>+AF9*(1+'19 Resumen'!$F$31)</f>
        <v>111974.40000000001</v>
      </c>
      <c r="AH9" s="223">
        <f>+AG9*(1+'19 Resumen'!$G$31)</f>
        <v>120932.35200000001</v>
      </c>
      <c r="AI9" s="223">
        <f>+AH9*(1+'19 Resumen'!$H$31)</f>
        <v>130606.94016000003</v>
      </c>
      <c r="AJ9" s="223">
        <f>+AI9*(1+'19 Resumen'!$I$31)</f>
        <v>138965.78433024004</v>
      </c>
      <c r="AK9" s="223">
        <f>+AJ9*(1+'19 Resumen'!$I$31)</f>
        <v>147859.59452737542</v>
      </c>
      <c r="AL9" s="223">
        <f>+AK9*(1+'19 Resumen'!$I$31)</f>
        <v>157322.60857712745</v>
      </c>
      <c r="AM9" s="223">
        <f>+AL9*(1+'19 Resumen'!$I$31)</f>
        <v>167391.25552606361</v>
      </c>
      <c r="AN9" s="225">
        <f>+AM9*(1+'19 Resumen'!$I$31)</f>
        <v>178104.29587973168</v>
      </c>
    </row>
    <row r="10" spans="1:40" ht="15" customHeight="1" x14ac:dyDescent="0.2">
      <c r="A10" s="708" t="s">
        <v>418</v>
      </c>
      <c r="B10" s="711">
        <v>2</v>
      </c>
      <c r="C10" s="710">
        <v>6000</v>
      </c>
      <c r="D10" s="1280">
        <f>C10*'19 Resumen'!$L$8</f>
        <v>6000</v>
      </c>
      <c r="E10" s="219">
        <f>IF(E$3&lt;('19 Resumen'!$M$4-1),0,$D10*$B10)</f>
        <v>0</v>
      </c>
      <c r="F10" s="220">
        <f>IF(F$3&lt;('19 Resumen'!$M$4-1),0,$D10*$B10)</f>
        <v>0</v>
      </c>
      <c r="G10" s="220">
        <f>IF(G$3&lt;('19 Resumen'!$M$4-1),0,$D10*$B10)</f>
        <v>0</v>
      </c>
      <c r="H10" s="220">
        <f>IF(H$3&lt;('19 Resumen'!$M$4-1),0,$D10*$B10)</f>
        <v>0</v>
      </c>
      <c r="I10" s="220">
        <f>IF(I$3&lt;('19 Resumen'!$M$4-1),0,$D10*$B10)</f>
        <v>12000</v>
      </c>
      <c r="J10" s="220">
        <f>IF(J$3&lt;('19 Resumen'!$M$4-1),0,$D10*$B10)</f>
        <v>12000</v>
      </c>
      <c r="K10" s="220">
        <f>IF(K$3&lt;('19 Resumen'!$M$4-1),0,$D10*$B10)</f>
        <v>12000</v>
      </c>
      <c r="L10" s="220">
        <f>IF(L$3&lt;('19 Resumen'!$M$4-1),0,$D10*$B10)</f>
        <v>12000</v>
      </c>
      <c r="M10" s="220">
        <f>IF(M$3&lt;('19 Resumen'!$M$4-1),0,$D10*$B10)</f>
        <v>12000</v>
      </c>
      <c r="N10" s="220">
        <f>IF(N$3&lt;('19 Resumen'!$M$4-1),0,$D10*$B10)</f>
        <v>12000</v>
      </c>
      <c r="O10" s="220">
        <f>IF(O$3&lt;('19 Resumen'!$M$4-1),0,$D10*$B10)</f>
        <v>12000</v>
      </c>
      <c r="P10" s="220">
        <f>IF(P$3&lt;('19 Resumen'!$M$4-1),0,$D10*$B10)</f>
        <v>12000</v>
      </c>
      <c r="Q10" s="221">
        <f t="shared" si="4"/>
        <v>96000</v>
      </c>
      <c r="R10" s="219">
        <f>+$D10*$B10*(1+'19 Resumen'!$E$31)</f>
        <v>12960</v>
      </c>
      <c r="S10" s="220">
        <f>+$D10*$B10*(1+'19 Resumen'!$E$31)</f>
        <v>12960</v>
      </c>
      <c r="T10" s="220">
        <f>+$D10*$B10*(1+'19 Resumen'!$E$31)</f>
        <v>12960</v>
      </c>
      <c r="U10" s="220">
        <f>+$D10*$B10*(1+'19 Resumen'!$E$31)</f>
        <v>12960</v>
      </c>
      <c r="V10" s="220">
        <f>+$D10*$B10*(1+'19 Resumen'!$E$31)</f>
        <v>12960</v>
      </c>
      <c r="W10" s="220">
        <f>+$D10*$B10*(1+'19 Resumen'!$E$31)</f>
        <v>12960</v>
      </c>
      <c r="X10" s="220">
        <f>+$D10*$B10*(1+'19 Resumen'!$E$31)</f>
        <v>12960</v>
      </c>
      <c r="Y10" s="220">
        <f>+$D10*$B10*(1+'19 Resumen'!$E$31)</f>
        <v>12960</v>
      </c>
      <c r="Z10" s="220">
        <f>+$D10*$B10*(1+'19 Resumen'!$E$31)</f>
        <v>12960</v>
      </c>
      <c r="AA10" s="220">
        <f>+$D10*$B10*(1+'19 Resumen'!$E$31)</f>
        <v>12960</v>
      </c>
      <c r="AB10" s="220">
        <f>+$D10*$B10*(1+'19 Resumen'!$E$31)</f>
        <v>12960</v>
      </c>
      <c r="AC10" s="220">
        <f>+$D10*$B10*(1+'19 Resumen'!$E$31)</f>
        <v>12960</v>
      </c>
      <c r="AD10" s="694">
        <f t="shared" si="5"/>
        <v>155520</v>
      </c>
      <c r="AE10" s="222">
        <f t="shared" si="6"/>
        <v>96000</v>
      </c>
      <c r="AF10" s="223">
        <f t="shared" si="7"/>
        <v>155520</v>
      </c>
      <c r="AG10" s="224">
        <f>+AF10*(1+'19 Resumen'!$F$31)</f>
        <v>167961.60000000001</v>
      </c>
      <c r="AH10" s="223">
        <f>+AG10*(1+'19 Resumen'!$G$31)</f>
        <v>181398.52800000002</v>
      </c>
      <c r="AI10" s="223">
        <f>+AH10*(1+'19 Resumen'!$H$31)</f>
        <v>195910.41024000003</v>
      </c>
      <c r="AJ10" s="223">
        <f>+AI10*(1+'19 Resumen'!$I$31)</f>
        <v>208448.67649536004</v>
      </c>
      <c r="AK10" s="223">
        <f>+AJ10*(1+'19 Resumen'!$I$31)</f>
        <v>221789.3917910631</v>
      </c>
      <c r="AL10" s="223">
        <f>+AK10*(1+'19 Resumen'!$I$31)</f>
        <v>235983.91286569115</v>
      </c>
      <c r="AM10" s="223">
        <f>+AL10*(1+'19 Resumen'!$I$31)</f>
        <v>251086.88328909539</v>
      </c>
      <c r="AN10" s="225">
        <f>+AM10*(1+'19 Resumen'!$I$31)</f>
        <v>267156.44381959754</v>
      </c>
    </row>
    <row r="11" spans="1:40" ht="15" customHeight="1" x14ac:dyDescent="0.2">
      <c r="A11" s="708" t="s">
        <v>657</v>
      </c>
      <c r="B11" s="254">
        <v>3</v>
      </c>
      <c r="C11" s="255">
        <v>5000</v>
      </c>
      <c r="D11" s="1280">
        <f>C11*'19 Resumen'!$L$8</f>
        <v>5000</v>
      </c>
      <c r="E11" s="219">
        <f>IF(E$3&lt;('19 Resumen'!$M$4-1),0,$D11*$B11)</f>
        <v>0</v>
      </c>
      <c r="F11" s="220">
        <f>IF(F$3&lt;('19 Resumen'!$M$4-1),0,$D11*$B11)</f>
        <v>0</v>
      </c>
      <c r="G11" s="220">
        <f>IF(G$3&lt;('19 Resumen'!$M$4-1),0,$D11*$B11)</f>
        <v>0</v>
      </c>
      <c r="H11" s="220">
        <f>IF(H$3&lt;('19 Resumen'!$M$4-1),0,$D11*$B11)</f>
        <v>0</v>
      </c>
      <c r="I11" s="220">
        <f>IF(I$3&lt;('19 Resumen'!$M$4-1),0,$D11*$B11)</f>
        <v>15000</v>
      </c>
      <c r="J11" s="220">
        <f>IF(J$3&lt;('19 Resumen'!$M$4-1),0,$D11*$B11)</f>
        <v>15000</v>
      </c>
      <c r="K11" s="220">
        <f>IF(K$3&lt;('19 Resumen'!$M$4-1),0,$D11*$B11)</f>
        <v>15000</v>
      </c>
      <c r="L11" s="220">
        <f>IF(L$3&lt;('19 Resumen'!$M$4-1),0,$D11*$B11)</f>
        <v>15000</v>
      </c>
      <c r="M11" s="220">
        <f>IF(M$3&lt;('19 Resumen'!$M$4-1),0,$D11*$B11)</f>
        <v>15000</v>
      </c>
      <c r="N11" s="220">
        <f>IF(N$3&lt;('19 Resumen'!$M$4-1),0,$D11*$B11)</f>
        <v>15000</v>
      </c>
      <c r="O11" s="220">
        <f>IF(O$3&lt;('19 Resumen'!$M$4-1),0,$D11*$B11)</f>
        <v>15000</v>
      </c>
      <c r="P11" s="220">
        <f>IF(P$3&lt;('19 Resumen'!$M$4-1),0,$D11*$B11)</f>
        <v>15000</v>
      </c>
      <c r="Q11" s="221">
        <f t="shared" si="4"/>
        <v>120000</v>
      </c>
      <c r="R11" s="219">
        <f>+$D11*$B11*(1+'19 Resumen'!$E$31)</f>
        <v>16200.000000000002</v>
      </c>
      <c r="S11" s="220">
        <f>+$D11*$B11*(1+'19 Resumen'!$E$31)</f>
        <v>16200.000000000002</v>
      </c>
      <c r="T11" s="220">
        <f>+$D11*$B11*(1+'19 Resumen'!$E$31)</f>
        <v>16200.000000000002</v>
      </c>
      <c r="U11" s="220">
        <f>+$D11*$B11*(1+'19 Resumen'!$E$31)</f>
        <v>16200.000000000002</v>
      </c>
      <c r="V11" s="220">
        <f>+$D11*$B11*(1+'19 Resumen'!$E$31)</f>
        <v>16200.000000000002</v>
      </c>
      <c r="W11" s="220">
        <f>+$D11*$B11*(1+'19 Resumen'!$E$31)</f>
        <v>16200.000000000002</v>
      </c>
      <c r="X11" s="220">
        <f>+$D11*$B11*(1+'19 Resumen'!$E$31)</f>
        <v>16200.000000000002</v>
      </c>
      <c r="Y11" s="220">
        <f>+$D11*$B11*(1+'19 Resumen'!$E$31)</f>
        <v>16200.000000000002</v>
      </c>
      <c r="Z11" s="220">
        <f>+$D11*$B11*(1+'19 Resumen'!$E$31)</f>
        <v>16200.000000000002</v>
      </c>
      <c r="AA11" s="220">
        <f>+$D11*$B11*(1+'19 Resumen'!$E$31)</f>
        <v>16200.000000000002</v>
      </c>
      <c r="AB11" s="220">
        <f>+$D11*$B11*(1+'19 Resumen'!$E$31)</f>
        <v>16200.000000000002</v>
      </c>
      <c r="AC11" s="220">
        <f>+$D11*$B11*(1+'19 Resumen'!$E$31)</f>
        <v>16200.000000000002</v>
      </c>
      <c r="AD11" s="694">
        <f t="shared" si="5"/>
        <v>194400.00000000003</v>
      </c>
      <c r="AE11" s="222">
        <f t="shared" si="6"/>
        <v>120000</v>
      </c>
      <c r="AF11" s="223">
        <f t="shared" si="7"/>
        <v>194400.00000000003</v>
      </c>
      <c r="AG11" s="224">
        <f>+AF11*(1+'19 Resumen'!$F$31)</f>
        <v>209952.00000000006</v>
      </c>
      <c r="AH11" s="223">
        <f>+AG11*(1+'19 Resumen'!$G$31)</f>
        <v>226748.16000000009</v>
      </c>
      <c r="AI11" s="223">
        <f>+AH11*(1+'19 Resumen'!$H$31)</f>
        <v>244888.01280000011</v>
      </c>
      <c r="AJ11" s="223">
        <f>+AI11*(1+'19 Resumen'!$I$31)</f>
        <v>260560.84561920015</v>
      </c>
      <c r="AK11" s="223">
        <f>+AJ11*(1+'19 Resumen'!$I$31)</f>
        <v>277236.73973882897</v>
      </c>
      <c r="AL11" s="223">
        <f>+AK11*(1+'19 Resumen'!$I$31)</f>
        <v>294979.89108211402</v>
      </c>
      <c r="AM11" s="223">
        <f>+AL11*(1+'19 Resumen'!$I$31)</f>
        <v>313858.60411136935</v>
      </c>
      <c r="AN11" s="225">
        <f>+AM11*(1+'19 Resumen'!$I$31)</f>
        <v>333945.554774497</v>
      </c>
    </row>
    <row r="12" spans="1:40" ht="15" customHeight="1" x14ac:dyDescent="0.2">
      <c r="A12" s="708"/>
      <c r="B12" s="256"/>
      <c r="C12" s="255">
        <v>9.9999999999999995E-8</v>
      </c>
      <c r="D12" s="1280">
        <f>C12*'19 Resumen'!$L$8</f>
        <v>9.9999999999999995E-8</v>
      </c>
      <c r="E12" s="219">
        <f>IF(E$3&lt;('19 Resumen'!$M$4-1),0,$D12*$B12)</f>
        <v>0</v>
      </c>
      <c r="F12" s="220">
        <f>IF(F$3&lt;('19 Resumen'!$M$4-1),0,$D12*$B12)</f>
        <v>0</v>
      </c>
      <c r="G12" s="220">
        <f>IF(G$3&lt;('19 Resumen'!$M$4-1),0,$D12*$B12)</f>
        <v>0</v>
      </c>
      <c r="H12" s="220">
        <f>IF(H$3&lt;('19 Resumen'!$M$4-1),0,$D12*$B12)</f>
        <v>0</v>
      </c>
      <c r="I12" s="220">
        <f>IF(I$3&lt;('19 Resumen'!$M$4-1),0,$D12*$B12)</f>
        <v>0</v>
      </c>
      <c r="J12" s="220">
        <f>IF(J$3&lt;('19 Resumen'!$M$4-1),0,$D12*$B12)</f>
        <v>0</v>
      </c>
      <c r="K12" s="220">
        <f>IF(K$3&lt;('19 Resumen'!$M$4-1),0,$D12*$B12)</f>
        <v>0</v>
      </c>
      <c r="L12" s="220">
        <f>IF(L$3&lt;('19 Resumen'!$M$4-1),0,$D12*$B12)</f>
        <v>0</v>
      </c>
      <c r="M12" s="220">
        <f>IF(M$3&lt;('19 Resumen'!$M$4-1),0,$D12*$B12)</f>
        <v>0</v>
      </c>
      <c r="N12" s="220">
        <f>IF(N$3&lt;('19 Resumen'!$M$4-1),0,$D12*$B12)</f>
        <v>0</v>
      </c>
      <c r="O12" s="220">
        <f>IF(O$3&lt;('19 Resumen'!$M$4-1),0,$D12*$B12)</f>
        <v>0</v>
      </c>
      <c r="P12" s="220">
        <f>IF(P$3&lt;('19 Resumen'!$M$4-1),0,$D12*$B12)</f>
        <v>0</v>
      </c>
      <c r="Q12" s="221">
        <f t="shared" si="4"/>
        <v>0</v>
      </c>
      <c r="R12" s="219">
        <f>+$D12*$B12*(1+'19 Resumen'!$E$31)</f>
        <v>0</v>
      </c>
      <c r="S12" s="220">
        <f>+$D12*$B12*(1+'19 Resumen'!$E$31)</f>
        <v>0</v>
      </c>
      <c r="T12" s="220">
        <f>+$D12*$B12*(1+'19 Resumen'!$E$31)</f>
        <v>0</v>
      </c>
      <c r="U12" s="220">
        <f>+$D12*$B12*(1+'19 Resumen'!$E$31)</f>
        <v>0</v>
      </c>
      <c r="V12" s="220">
        <f>+$D12*$B12*(1+'19 Resumen'!$E$31)</f>
        <v>0</v>
      </c>
      <c r="W12" s="220">
        <f>+$D12*$B12*(1+'19 Resumen'!$E$31)</f>
        <v>0</v>
      </c>
      <c r="X12" s="220">
        <f>+$D12*$B12*(1+'19 Resumen'!$E$31)</f>
        <v>0</v>
      </c>
      <c r="Y12" s="220">
        <f>+$D12*$B12*(1+'19 Resumen'!$E$31)</f>
        <v>0</v>
      </c>
      <c r="Z12" s="220">
        <f>+$D12*$B12*(1+'19 Resumen'!$E$31)</f>
        <v>0</v>
      </c>
      <c r="AA12" s="220">
        <f>+$D12*$B12*(1+'19 Resumen'!$E$31)</f>
        <v>0</v>
      </c>
      <c r="AB12" s="220">
        <f>+$D12*$B12*(1+'19 Resumen'!$E$31)</f>
        <v>0</v>
      </c>
      <c r="AC12" s="220">
        <f>+$D12*$B12*(1+'19 Resumen'!$E$31)</f>
        <v>0</v>
      </c>
      <c r="AD12" s="694">
        <f t="shared" si="5"/>
        <v>0</v>
      </c>
      <c r="AE12" s="222">
        <f t="shared" si="6"/>
        <v>0</v>
      </c>
      <c r="AF12" s="223">
        <f t="shared" si="7"/>
        <v>0</v>
      </c>
      <c r="AG12" s="224">
        <f>+AF12*(1+'19 Resumen'!$F$31)</f>
        <v>0</v>
      </c>
      <c r="AH12" s="223">
        <f>+AG12*(1+'19 Resumen'!$G$31)</f>
        <v>0</v>
      </c>
      <c r="AI12" s="223">
        <f>+AH12*(1+'19 Resumen'!$H$31)</f>
        <v>0</v>
      </c>
      <c r="AJ12" s="223">
        <f>+AI12*(1+'19 Resumen'!$I$31)</f>
        <v>0</v>
      </c>
      <c r="AK12" s="223">
        <f>+AJ12*(1+'19 Resumen'!$I$31)</f>
        <v>0</v>
      </c>
      <c r="AL12" s="223">
        <f>+AK12*(1+'19 Resumen'!$I$31)</f>
        <v>0</v>
      </c>
      <c r="AM12" s="223">
        <f>+AL12*(1+'19 Resumen'!$I$31)</f>
        <v>0</v>
      </c>
      <c r="AN12" s="225">
        <f>+AM12*(1+'19 Resumen'!$I$31)</f>
        <v>0</v>
      </c>
    </row>
    <row r="13" spans="1:40" ht="15" customHeight="1" thickBot="1" x14ac:dyDescent="0.25">
      <c r="A13" s="708"/>
      <c r="B13" s="257"/>
      <c r="C13" s="255">
        <v>9.9999999999999995E-8</v>
      </c>
      <c r="D13" s="1280">
        <f>C13*'19 Resumen'!$L$8</f>
        <v>9.9999999999999995E-8</v>
      </c>
      <c r="E13" s="227">
        <f>IF(E$3&lt;('19 Resumen'!$M$4-1),0,$D13*$B13)</f>
        <v>0</v>
      </c>
      <c r="F13" s="367">
        <f>IF(F$3&lt;('19 Resumen'!$M$4-1),0,$D13*$B13)</f>
        <v>0</v>
      </c>
      <c r="G13" s="367">
        <f>IF(G$3&lt;('19 Resumen'!$M$4-1),0,$D13*$B13)</f>
        <v>0</v>
      </c>
      <c r="H13" s="367">
        <f>IF(H$3&lt;('19 Resumen'!$M$4-1),0,$D13*$B13)</f>
        <v>0</v>
      </c>
      <c r="I13" s="367">
        <f>IF(I$3&lt;('19 Resumen'!$M$4-1),0,$D13*$B13)</f>
        <v>0</v>
      </c>
      <c r="J13" s="367">
        <f>IF(J$3&lt;('19 Resumen'!$M$4-1),0,$D13*$B13)</f>
        <v>0</v>
      </c>
      <c r="K13" s="367">
        <f>IF(K$3&lt;('19 Resumen'!$M$4-1),0,$D13*$B13)</f>
        <v>0</v>
      </c>
      <c r="L13" s="367">
        <f>IF(L$3&lt;('19 Resumen'!$M$4-1),0,$D13*$B13)</f>
        <v>0</v>
      </c>
      <c r="M13" s="367">
        <f>IF(M$3&lt;('19 Resumen'!$M$4-1),0,$D13*$B13)</f>
        <v>0</v>
      </c>
      <c r="N13" s="367">
        <f>IF(N$3&lt;('19 Resumen'!$M$4-1),0,$D13*$B13)</f>
        <v>0</v>
      </c>
      <c r="O13" s="367">
        <f>IF(O$3&lt;('19 Resumen'!$M$4-1),0,$D13*$B13)</f>
        <v>0</v>
      </c>
      <c r="P13" s="367">
        <f>IF(P$3&lt;('19 Resumen'!$M$4-1),0,$D13*$B13)</f>
        <v>0</v>
      </c>
      <c r="Q13" s="228">
        <f t="shared" si="4"/>
        <v>0</v>
      </c>
      <c r="R13" s="227">
        <f>+$D13*$B13*(1+'19 Resumen'!$E$31)</f>
        <v>0</v>
      </c>
      <c r="S13" s="367">
        <f>+$D13*$B13*(1+'19 Resumen'!$E$31)</f>
        <v>0</v>
      </c>
      <c r="T13" s="367">
        <f>+$D13*$B13*(1+'19 Resumen'!$E$31)</f>
        <v>0</v>
      </c>
      <c r="U13" s="367">
        <f>+$D13*$B13*(1+'19 Resumen'!$E$31)</f>
        <v>0</v>
      </c>
      <c r="V13" s="367">
        <f>+$D13*$B13*(1+'19 Resumen'!$E$31)</f>
        <v>0</v>
      </c>
      <c r="W13" s="367">
        <f>+$D13*$B13*(1+'19 Resumen'!$E$31)</f>
        <v>0</v>
      </c>
      <c r="X13" s="367">
        <f>+$D13*$B13*(1+'19 Resumen'!$E$31)</f>
        <v>0</v>
      </c>
      <c r="Y13" s="367">
        <f>+$D13*$B13*(1+'19 Resumen'!$E$31)</f>
        <v>0</v>
      </c>
      <c r="Z13" s="367">
        <f>+$D13*$B13*(1+'19 Resumen'!$E$31)</f>
        <v>0</v>
      </c>
      <c r="AA13" s="367">
        <f>+$D13*$B13*(1+'19 Resumen'!$E$31)</f>
        <v>0</v>
      </c>
      <c r="AB13" s="367">
        <f>+$D13*$B13*(1+'19 Resumen'!$E$31)</f>
        <v>0</v>
      </c>
      <c r="AC13" s="367">
        <f>+$D13*$B13*(1+'19 Resumen'!$E$31)</f>
        <v>0</v>
      </c>
      <c r="AD13" s="695">
        <f t="shared" si="5"/>
        <v>0</v>
      </c>
      <c r="AE13" s="720">
        <f t="shared" si="6"/>
        <v>0</v>
      </c>
      <c r="AF13" s="721">
        <f t="shared" si="7"/>
        <v>0</v>
      </c>
      <c r="AG13" s="697">
        <f>+AF13*(1+'19 Resumen'!$F$31)</f>
        <v>0</v>
      </c>
      <c r="AH13" s="721">
        <f>+AG13*(1+'19 Resumen'!$G$31)</f>
        <v>0</v>
      </c>
      <c r="AI13" s="721">
        <f>+AH13*(1+'19 Resumen'!$H$31)</f>
        <v>0</v>
      </c>
      <c r="AJ13" s="721">
        <f>+AI13*(1+'19 Resumen'!$I$31)</f>
        <v>0</v>
      </c>
      <c r="AK13" s="721">
        <f>+AJ13*(1+'19 Resumen'!$I$31)</f>
        <v>0</v>
      </c>
      <c r="AL13" s="721">
        <f>+AK13*(1+'19 Resumen'!$I$31)</f>
        <v>0</v>
      </c>
      <c r="AM13" s="721">
        <f>+AL13*(1+'19 Resumen'!$I$31)</f>
        <v>0</v>
      </c>
      <c r="AN13" s="722">
        <f>+AM13*(1+'19 Resumen'!$I$31)</f>
        <v>0</v>
      </c>
    </row>
    <row r="14" spans="1:40" ht="15" customHeight="1" x14ac:dyDescent="0.2">
      <c r="A14" s="229" t="s">
        <v>76</v>
      </c>
      <c r="B14" s="230"/>
      <c r="C14" s="231"/>
      <c r="D14" s="232"/>
      <c r="E14" s="716">
        <f t="shared" ref="E14:AN14" si="8">SUM(E7:E13)</f>
        <v>0</v>
      </c>
      <c r="F14" s="717">
        <f t="shared" si="8"/>
        <v>0</v>
      </c>
      <c r="G14" s="717">
        <f t="shared" si="8"/>
        <v>0</v>
      </c>
      <c r="H14" s="717">
        <f t="shared" si="8"/>
        <v>0</v>
      </c>
      <c r="I14" s="717">
        <f t="shared" si="8"/>
        <v>75000</v>
      </c>
      <c r="J14" s="717">
        <f t="shared" si="8"/>
        <v>75000</v>
      </c>
      <c r="K14" s="717">
        <f t="shared" si="8"/>
        <v>75000</v>
      </c>
      <c r="L14" s="717">
        <f t="shared" si="8"/>
        <v>75000</v>
      </c>
      <c r="M14" s="717">
        <f t="shared" si="8"/>
        <v>75000</v>
      </c>
      <c r="N14" s="717">
        <f t="shared" si="8"/>
        <v>75000</v>
      </c>
      <c r="O14" s="717">
        <f t="shared" si="8"/>
        <v>75000</v>
      </c>
      <c r="P14" s="717">
        <f t="shared" si="8"/>
        <v>75000</v>
      </c>
      <c r="Q14" s="718">
        <f t="shared" si="8"/>
        <v>600000</v>
      </c>
      <c r="R14" s="716">
        <f t="shared" si="8"/>
        <v>81000</v>
      </c>
      <c r="S14" s="717">
        <f t="shared" si="8"/>
        <v>81000</v>
      </c>
      <c r="T14" s="717">
        <f t="shared" si="8"/>
        <v>81000</v>
      </c>
      <c r="U14" s="717">
        <f t="shared" si="8"/>
        <v>81000</v>
      </c>
      <c r="V14" s="717">
        <f t="shared" si="8"/>
        <v>81000</v>
      </c>
      <c r="W14" s="717">
        <f t="shared" si="8"/>
        <v>81000</v>
      </c>
      <c r="X14" s="717">
        <f t="shared" si="8"/>
        <v>81000</v>
      </c>
      <c r="Y14" s="717">
        <f t="shared" si="8"/>
        <v>81000</v>
      </c>
      <c r="Z14" s="717">
        <f t="shared" si="8"/>
        <v>81000</v>
      </c>
      <c r="AA14" s="717">
        <f t="shared" si="8"/>
        <v>81000</v>
      </c>
      <c r="AB14" s="717">
        <f t="shared" si="8"/>
        <v>81000</v>
      </c>
      <c r="AC14" s="717">
        <f t="shared" si="8"/>
        <v>81000</v>
      </c>
      <c r="AD14" s="719">
        <f t="shared" si="8"/>
        <v>972000</v>
      </c>
      <c r="AE14" s="716">
        <f t="shared" si="8"/>
        <v>600000</v>
      </c>
      <c r="AF14" s="717">
        <f t="shared" si="8"/>
        <v>972000</v>
      </c>
      <c r="AG14" s="717">
        <f t="shared" si="8"/>
        <v>1049760</v>
      </c>
      <c r="AH14" s="717">
        <f t="shared" si="8"/>
        <v>1133740.8</v>
      </c>
      <c r="AI14" s="717">
        <f t="shared" si="8"/>
        <v>1224440.0640000002</v>
      </c>
      <c r="AJ14" s="717">
        <f t="shared" si="8"/>
        <v>1302804.2280960004</v>
      </c>
      <c r="AK14" s="717">
        <f t="shared" si="8"/>
        <v>1386183.6986941446</v>
      </c>
      <c r="AL14" s="717">
        <f t="shared" si="8"/>
        <v>1474899.4554105699</v>
      </c>
      <c r="AM14" s="717">
        <f t="shared" si="8"/>
        <v>1569293.0205568462</v>
      </c>
      <c r="AN14" s="719">
        <f t="shared" si="8"/>
        <v>1669727.7738724847</v>
      </c>
    </row>
    <row r="15" spans="1:40" ht="15" customHeight="1" x14ac:dyDescent="0.2">
      <c r="A15" s="233" t="s">
        <v>243</v>
      </c>
      <c r="B15" s="234"/>
      <c r="C15" s="235"/>
      <c r="D15" s="236"/>
      <c r="E15" s="237">
        <f>+E14*('19 Resumen'!$M$2)</f>
        <v>0</v>
      </c>
      <c r="F15" s="226">
        <f>+F14*('19 Resumen'!$M$2)</f>
        <v>0</v>
      </c>
      <c r="G15" s="226">
        <f>+G14*('19 Resumen'!$M$2)</f>
        <v>0</v>
      </c>
      <c r="H15" s="226">
        <f>+H14*('19 Resumen'!$M$2)</f>
        <v>0</v>
      </c>
      <c r="I15" s="226">
        <f>+I14*('19 Resumen'!$M$2)</f>
        <v>52500</v>
      </c>
      <c r="J15" s="226">
        <f>+J14*('19 Resumen'!$M$2)</f>
        <v>52500</v>
      </c>
      <c r="K15" s="226">
        <f>+K14*('19 Resumen'!$M$2)</f>
        <v>52500</v>
      </c>
      <c r="L15" s="226">
        <f>+L14*('19 Resumen'!$M$2)</f>
        <v>52500</v>
      </c>
      <c r="M15" s="226">
        <f>+M14*('19 Resumen'!$M$2)</f>
        <v>52500</v>
      </c>
      <c r="N15" s="226">
        <f>+N14*('19 Resumen'!$M$2)</f>
        <v>52500</v>
      </c>
      <c r="O15" s="226">
        <f>+O14*('19 Resumen'!$M$2)</f>
        <v>52500</v>
      </c>
      <c r="P15" s="226">
        <f>+P14*('19 Resumen'!$M$2)</f>
        <v>52500</v>
      </c>
      <c r="Q15" s="238">
        <f>+Q14*('19 Resumen'!$M$2)</f>
        <v>420000</v>
      </c>
      <c r="R15" s="237">
        <f>+R14*('19 Resumen'!$M$2)</f>
        <v>56700</v>
      </c>
      <c r="S15" s="226">
        <f>+S14*('19 Resumen'!$M$2)</f>
        <v>56700</v>
      </c>
      <c r="T15" s="226">
        <f>+T14*('19 Resumen'!$M$2)</f>
        <v>56700</v>
      </c>
      <c r="U15" s="226">
        <f>+U14*('19 Resumen'!$M$2)</f>
        <v>56700</v>
      </c>
      <c r="V15" s="226">
        <f>+V14*('19 Resumen'!$M$2)</f>
        <v>56700</v>
      </c>
      <c r="W15" s="226">
        <f>+W14*('19 Resumen'!$M$2)</f>
        <v>56700</v>
      </c>
      <c r="X15" s="226">
        <f>+X14*('19 Resumen'!$M$2)</f>
        <v>56700</v>
      </c>
      <c r="Y15" s="226">
        <f>+Y14*('19 Resumen'!$M$2)</f>
        <v>56700</v>
      </c>
      <c r="Z15" s="226">
        <f>+Z14*('19 Resumen'!$M$2)</f>
        <v>56700</v>
      </c>
      <c r="AA15" s="226">
        <f>+AA14*('19 Resumen'!$M$2)</f>
        <v>56700</v>
      </c>
      <c r="AB15" s="226">
        <f>+AB14*('19 Resumen'!$M$2)</f>
        <v>56700</v>
      </c>
      <c r="AC15" s="226">
        <f>+AC14*('19 Resumen'!$M$2)</f>
        <v>56700</v>
      </c>
      <c r="AD15" s="239">
        <f>+AD14*('19 Resumen'!$M$2)</f>
        <v>680400</v>
      </c>
      <c r="AE15" s="237">
        <f>+AE14*('19 Resumen'!$M$2)</f>
        <v>420000</v>
      </c>
      <c r="AF15" s="226">
        <f>+AF14*('19 Resumen'!$M$2)</f>
        <v>680400</v>
      </c>
      <c r="AG15" s="226">
        <f>+AG14*('19 Resumen'!$M$2)</f>
        <v>734832</v>
      </c>
      <c r="AH15" s="226">
        <f>+AH14*('19 Resumen'!$M$2)</f>
        <v>793618.55999999994</v>
      </c>
      <c r="AI15" s="226">
        <f>+AI14*('19 Resumen'!$M$2)</f>
        <v>857108.04480000015</v>
      </c>
      <c r="AJ15" s="226">
        <f>+AJ14*('19 Resumen'!$M$2)</f>
        <v>911962.95966720022</v>
      </c>
      <c r="AK15" s="226">
        <f>+AK14*('19 Resumen'!$M$2)</f>
        <v>970328.58908590116</v>
      </c>
      <c r="AL15" s="226">
        <f>+AL14*('19 Resumen'!$M$2)</f>
        <v>1032429.6187873989</v>
      </c>
      <c r="AM15" s="226">
        <f>+AM14*('19 Resumen'!$M$2)</f>
        <v>1098505.1143897923</v>
      </c>
      <c r="AN15" s="239">
        <f>+AN14*('19 Resumen'!$M$2)</f>
        <v>1168809.4417107392</v>
      </c>
    </row>
    <row r="16" spans="1:40" ht="13.5" thickBot="1" x14ac:dyDescent="0.25">
      <c r="A16" s="240" t="s">
        <v>244</v>
      </c>
      <c r="B16" s="241"/>
      <c r="C16" s="242"/>
      <c r="D16" s="243"/>
      <c r="E16" s="244">
        <f t="shared" ref="E16:Q16" si="9">+E15+E14</f>
        <v>0</v>
      </c>
      <c r="F16" s="245">
        <f t="shared" si="9"/>
        <v>0</v>
      </c>
      <c r="G16" s="245">
        <f t="shared" si="9"/>
        <v>0</v>
      </c>
      <c r="H16" s="245">
        <f t="shared" si="9"/>
        <v>0</v>
      </c>
      <c r="I16" s="245">
        <f t="shared" si="9"/>
        <v>127500</v>
      </c>
      <c r="J16" s="245">
        <f t="shared" si="9"/>
        <v>127500</v>
      </c>
      <c r="K16" s="245">
        <f t="shared" si="9"/>
        <v>127500</v>
      </c>
      <c r="L16" s="245">
        <f t="shared" si="9"/>
        <v>127500</v>
      </c>
      <c r="M16" s="245">
        <f t="shared" si="9"/>
        <v>127500</v>
      </c>
      <c r="N16" s="245">
        <f t="shared" si="9"/>
        <v>127500</v>
      </c>
      <c r="O16" s="245">
        <f t="shared" si="9"/>
        <v>127500</v>
      </c>
      <c r="P16" s="245">
        <f t="shared" si="9"/>
        <v>127500</v>
      </c>
      <c r="Q16" s="246">
        <f t="shared" si="9"/>
        <v>1020000</v>
      </c>
      <c r="R16" s="244">
        <f t="shared" ref="R16:AD16" si="10">+R15+R14</f>
        <v>137700</v>
      </c>
      <c r="S16" s="245">
        <f t="shared" si="10"/>
        <v>137700</v>
      </c>
      <c r="T16" s="245">
        <f t="shared" si="10"/>
        <v>137700</v>
      </c>
      <c r="U16" s="245">
        <f t="shared" si="10"/>
        <v>137700</v>
      </c>
      <c r="V16" s="245">
        <f t="shared" si="10"/>
        <v>137700</v>
      </c>
      <c r="W16" s="245">
        <f t="shared" si="10"/>
        <v>137700</v>
      </c>
      <c r="X16" s="245">
        <f t="shared" si="10"/>
        <v>137700</v>
      </c>
      <c r="Y16" s="245">
        <f t="shared" si="10"/>
        <v>137700</v>
      </c>
      <c r="Z16" s="245">
        <f t="shared" si="10"/>
        <v>137700</v>
      </c>
      <c r="AA16" s="245">
        <f t="shared" si="10"/>
        <v>137700</v>
      </c>
      <c r="AB16" s="245">
        <f t="shared" si="10"/>
        <v>137700</v>
      </c>
      <c r="AC16" s="245">
        <f t="shared" si="10"/>
        <v>137700</v>
      </c>
      <c r="AD16" s="228">
        <f t="shared" si="10"/>
        <v>1652400</v>
      </c>
      <c r="AE16" s="244">
        <f t="shared" ref="AE16:AN16" si="11">+AE15+AE14</f>
        <v>1020000</v>
      </c>
      <c r="AF16" s="245">
        <f t="shared" si="11"/>
        <v>1652400</v>
      </c>
      <c r="AG16" s="245">
        <f t="shared" si="11"/>
        <v>1784592</v>
      </c>
      <c r="AH16" s="245">
        <f t="shared" si="11"/>
        <v>1927359.3599999999</v>
      </c>
      <c r="AI16" s="245">
        <f t="shared" si="11"/>
        <v>2081548.1088000005</v>
      </c>
      <c r="AJ16" s="245">
        <f t="shared" si="11"/>
        <v>2214767.1877632006</v>
      </c>
      <c r="AK16" s="245">
        <f t="shared" si="11"/>
        <v>2356512.2877800455</v>
      </c>
      <c r="AL16" s="245">
        <f t="shared" si="11"/>
        <v>2507329.0741979689</v>
      </c>
      <c r="AM16" s="245">
        <f t="shared" si="11"/>
        <v>2667798.1349466387</v>
      </c>
      <c r="AN16" s="228">
        <f t="shared" si="11"/>
        <v>2838537.2155832238</v>
      </c>
    </row>
    <row r="17" spans="1:40" x14ac:dyDescent="0.2">
      <c r="A17" s="89"/>
      <c r="B17" s="89"/>
      <c r="C17" s="89"/>
      <c r="D17" s="89"/>
      <c r="E17" s="89"/>
      <c r="F17" s="89"/>
      <c r="G17" s="89"/>
      <c r="H17" s="89"/>
      <c r="I17" s="89"/>
      <c r="J17" s="89"/>
      <c r="K17" s="89"/>
      <c r="L17" s="89"/>
      <c r="M17" s="89"/>
      <c r="N17" s="89"/>
      <c r="O17" s="89"/>
      <c r="P17" s="89"/>
      <c r="Q17" s="89"/>
      <c r="R17" s="89"/>
      <c r="S17" s="89"/>
      <c r="T17" s="89"/>
      <c r="U17" s="89"/>
      <c r="V17" s="89"/>
      <c r="W17" s="89"/>
      <c r="X17" s="89"/>
      <c r="Y17" s="89"/>
      <c r="Z17" s="89"/>
      <c r="AA17" s="89"/>
      <c r="AB17" s="89"/>
      <c r="AC17" s="89"/>
      <c r="AD17" s="89"/>
      <c r="AE17" s="89"/>
      <c r="AF17" s="89"/>
      <c r="AG17" s="89"/>
      <c r="AH17" s="89"/>
      <c r="AI17" s="89"/>
      <c r="AJ17" s="89"/>
      <c r="AK17" s="89"/>
      <c r="AL17" s="89"/>
      <c r="AM17" s="89"/>
      <c r="AN17" s="89"/>
    </row>
    <row r="18" spans="1:40" ht="13.5" thickBot="1" x14ac:dyDescent="0.25">
      <c r="A18" s="89"/>
      <c r="B18" s="89"/>
      <c r="C18" s="89"/>
      <c r="D18" s="89"/>
      <c r="E18" s="247"/>
      <c r="F18" s="247"/>
      <c r="G18" s="247"/>
      <c r="H18" s="247"/>
      <c r="I18" s="247"/>
      <c r="J18" s="247"/>
      <c r="K18" s="247"/>
      <c r="L18" s="247"/>
      <c r="M18" s="247"/>
      <c r="N18" s="247"/>
      <c r="O18" s="247"/>
      <c r="P18" s="247"/>
      <c r="Q18" s="247"/>
      <c r="R18" s="247"/>
      <c r="S18" s="247"/>
      <c r="T18" s="247"/>
      <c r="U18" s="247"/>
      <c r="V18" s="247"/>
      <c r="W18" s="247"/>
      <c r="X18" s="247"/>
      <c r="Y18" s="247"/>
      <c r="Z18" s="247"/>
      <c r="AA18" s="247"/>
      <c r="AB18" s="247"/>
      <c r="AC18" s="247"/>
      <c r="AD18" s="247"/>
      <c r="AE18" s="89"/>
      <c r="AF18" s="89"/>
      <c r="AG18" s="89"/>
      <c r="AH18" s="89"/>
      <c r="AI18" s="89"/>
      <c r="AJ18" s="89"/>
      <c r="AK18" s="89"/>
      <c r="AL18" s="89"/>
      <c r="AM18" s="89"/>
      <c r="AN18" s="89"/>
    </row>
    <row r="19" spans="1:40" ht="13.5" thickBot="1" x14ac:dyDescent="0.25">
      <c r="A19" s="89"/>
      <c r="B19" s="89">
        <f>SUM(B7:B13)</f>
        <v>12</v>
      </c>
      <c r="C19" s="89">
        <f t="shared" ref="C19:D19" si="12">SUM(C7:C13)</f>
        <v>33000.000000200002</v>
      </c>
      <c r="D19" s="89">
        <f t="shared" si="12"/>
        <v>33000.000000200002</v>
      </c>
      <c r="E19" s="248" t="str">
        <f>IF(E3&lt;'19 Resumen'!$M$3, "No inicia", "OK")</f>
        <v>No inicia</v>
      </c>
      <c r="F19" s="249" t="str">
        <f>IF(F3&lt;'19 Resumen'!$M$3, "No inicia", "OK")</f>
        <v>No inicia</v>
      </c>
      <c r="G19" s="249" t="str">
        <f>IF(G3&lt;'19 Resumen'!$M$3, "No inicia", "OK")</f>
        <v>OK</v>
      </c>
      <c r="H19" s="249" t="str">
        <f>IF(H3&lt;'19 Resumen'!$M$3, "No inicia", "OK")</f>
        <v>OK</v>
      </c>
      <c r="I19" s="249" t="str">
        <f>IF(I3&lt;'19 Resumen'!$M$3, "No inicia", "OK")</f>
        <v>OK</v>
      </c>
      <c r="J19" s="249" t="str">
        <f>IF(J3&lt;'19 Resumen'!$M$3, "No inicia", "OK")</f>
        <v>OK</v>
      </c>
      <c r="K19" s="249" t="str">
        <f>IF(K3&lt;'19 Resumen'!$M$3, "No inicia", "OK")</f>
        <v>OK</v>
      </c>
      <c r="L19" s="249" t="str">
        <f>IF(L3&lt;'19 Resumen'!$M$3, "No inicia", "OK")</f>
        <v>OK</v>
      </c>
      <c r="M19" s="249" t="str">
        <f>IF(M3&lt;'19 Resumen'!$M$3, "No inicia", "OK")</f>
        <v>OK</v>
      </c>
      <c r="N19" s="249" t="str">
        <f>IF(N3&lt;'19 Resumen'!$M$3, "No inicia", "OK")</f>
        <v>OK</v>
      </c>
      <c r="O19" s="249" t="str">
        <f>IF(O3&lt;'19 Resumen'!$M$3, "No inicia", "OK")</f>
        <v>OK</v>
      </c>
      <c r="P19" s="250" t="str">
        <f>IF(P3&lt;'19 Resumen'!$M$3, "No inicia", "OK")</f>
        <v>OK</v>
      </c>
      <c r="Q19" s="247"/>
      <c r="R19" s="248" t="str">
        <f>IF(R3&lt;'19 Resumen'!$M$3, "No inicia", "OK")</f>
        <v>OK</v>
      </c>
      <c r="S19" s="249" t="str">
        <f>IF(S3&lt;'19 Resumen'!$M$3, "No inicia", "OK")</f>
        <v>OK</v>
      </c>
      <c r="T19" s="249" t="str">
        <f>IF(T3&lt;'19 Resumen'!$M$3, "No inicia", "OK")</f>
        <v>OK</v>
      </c>
      <c r="U19" s="249" t="str">
        <f>IF(U3&lt;'19 Resumen'!$M$3, "No inicia", "OK")</f>
        <v>OK</v>
      </c>
      <c r="V19" s="249" t="str">
        <f>IF(V3&lt;'19 Resumen'!$M$3, "No inicia", "OK")</f>
        <v>OK</v>
      </c>
      <c r="W19" s="249" t="str">
        <f>IF(W3&lt;'19 Resumen'!$M$3, "No inicia", "OK")</f>
        <v>OK</v>
      </c>
      <c r="X19" s="249" t="str">
        <f>IF(X3&lt;'19 Resumen'!$M$3, "No inicia", "OK")</f>
        <v>OK</v>
      </c>
      <c r="Y19" s="249" t="str">
        <f>IF(Y3&lt;'19 Resumen'!$M$3, "No inicia", "OK")</f>
        <v>OK</v>
      </c>
      <c r="Z19" s="249" t="str">
        <f>IF(Z3&lt;'19 Resumen'!$M$3, "No inicia", "OK")</f>
        <v>OK</v>
      </c>
      <c r="AA19" s="249" t="str">
        <f>IF(AA3&lt;'19 Resumen'!$M$3, "No inicia", "OK")</f>
        <v>OK</v>
      </c>
      <c r="AB19" s="249" t="str">
        <f>IF(AB3&lt;'19 Resumen'!$M$3, "No inicia", "OK")</f>
        <v>OK</v>
      </c>
      <c r="AC19" s="250" t="str">
        <f>IF(AC3&lt;'19 Resumen'!$M$3, "No inicia", "OK")</f>
        <v>OK</v>
      </c>
      <c r="AD19" s="247"/>
      <c r="AE19" s="251">
        <f>+Q16</f>
        <v>1020000</v>
      </c>
      <c r="AF19" s="252">
        <f t="shared" ref="AF19:AN19" si="13">+AF16/AE16-1</f>
        <v>0.62000000000000011</v>
      </c>
      <c r="AG19" s="252">
        <f>+AG16/AF16-1</f>
        <v>8.0000000000000071E-2</v>
      </c>
      <c r="AH19" s="252">
        <f t="shared" si="13"/>
        <v>7.9999999999999849E-2</v>
      </c>
      <c r="AI19" s="252">
        <f t="shared" si="13"/>
        <v>8.0000000000000293E-2</v>
      </c>
      <c r="AJ19" s="252">
        <f t="shared" si="13"/>
        <v>6.4000000000000057E-2</v>
      </c>
      <c r="AK19" s="252">
        <f t="shared" si="13"/>
        <v>6.4000000000000057E-2</v>
      </c>
      <c r="AL19" s="252">
        <f t="shared" si="13"/>
        <v>6.4000000000000279E-2</v>
      </c>
      <c r="AM19" s="252">
        <f t="shared" si="13"/>
        <v>6.3999999999999835E-2</v>
      </c>
      <c r="AN19" s="253">
        <f t="shared" si="13"/>
        <v>6.4000000000000057E-2</v>
      </c>
    </row>
    <row r="20" spans="1:40" ht="15" x14ac:dyDescent="0.3"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/>
      <c r="AF20"/>
      <c r="AG20"/>
      <c r="AH20"/>
      <c r="AI20"/>
      <c r="AJ20"/>
      <c r="AK20"/>
      <c r="AL20"/>
      <c r="AM20"/>
      <c r="AN20"/>
    </row>
    <row r="21" spans="1:40" x14ac:dyDescent="0.2">
      <c r="E21" s="12"/>
      <c r="G21" s="12"/>
    </row>
    <row r="22" spans="1:40" ht="15" x14ac:dyDescent="0.3"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</row>
    <row r="23" spans="1:40" x14ac:dyDescent="0.2">
      <c r="E23" s="12"/>
    </row>
    <row r="24" spans="1:40" x14ac:dyDescent="0.2">
      <c r="E24" s="12"/>
    </row>
    <row r="25" spans="1:40" x14ac:dyDescent="0.2">
      <c r="E25" s="12"/>
    </row>
    <row r="28" spans="1:40" ht="15" x14ac:dyDescent="0.3">
      <c r="E28" s="1421">
        <f>E7/$D$7+E8/$D$8+E9/$D$9+E10/$D$10+E11/$D$11+E12/$D$12+E13/$D$13</f>
        <v>0</v>
      </c>
      <c r="F28" s="1421">
        <f t="shared" ref="F28:AC28" si="14">F7/$D$7+F8/$D$8+F9/$D$9+F10/$D$10+F11/$D$11+F12/$D$12+F13/$D$13</f>
        <v>0</v>
      </c>
      <c r="G28" s="1421">
        <f t="shared" si="14"/>
        <v>0</v>
      </c>
      <c r="H28" s="1421">
        <f t="shared" si="14"/>
        <v>0</v>
      </c>
      <c r="I28" s="1421">
        <f t="shared" si="14"/>
        <v>12</v>
      </c>
      <c r="J28" s="1421">
        <f t="shared" si="14"/>
        <v>12</v>
      </c>
      <c r="K28" s="1421">
        <f t="shared" si="14"/>
        <v>12</v>
      </c>
      <c r="L28" s="1421">
        <f t="shared" si="14"/>
        <v>12</v>
      </c>
      <c r="M28" s="1421">
        <f t="shared" si="14"/>
        <v>12</v>
      </c>
      <c r="N28" s="1421">
        <f t="shared" si="14"/>
        <v>12</v>
      </c>
      <c r="O28" s="1421">
        <f t="shared" si="14"/>
        <v>12</v>
      </c>
      <c r="P28" s="1421">
        <f t="shared" si="14"/>
        <v>12</v>
      </c>
      <c r="Q28"/>
      <c r="R28" s="1421">
        <f t="shared" si="14"/>
        <v>12.96</v>
      </c>
      <c r="S28" s="1421">
        <f t="shared" si="14"/>
        <v>12.96</v>
      </c>
      <c r="T28" s="1421">
        <f t="shared" si="14"/>
        <v>12.96</v>
      </c>
      <c r="U28" s="1421">
        <f t="shared" si="14"/>
        <v>12.96</v>
      </c>
      <c r="V28" s="1421">
        <f t="shared" si="14"/>
        <v>12.96</v>
      </c>
      <c r="W28" s="1421">
        <f t="shared" si="14"/>
        <v>12.96</v>
      </c>
      <c r="X28" s="1421">
        <f t="shared" si="14"/>
        <v>12.96</v>
      </c>
      <c r="Y28" s="1421">
        <f t="shared" si="14"/>
        <v>12.96</v>
      </c>
      <c r="Z28" s="1421">
        <f t="shared" si="14"/>
        <v>12.96</v>
      </c>
      <c r="AA28" s="1421">
        <f t="shared" si="14"/>
        <v>12.96</v>
      </c>
      <c r="AB28" s="1421">
        <f t="shared" si="14"/>
        <v>12.96</v>
      </c>
      <c r="AC28" s="1421">
        <f t="shared" si="14"/>
        <v>12.96</v>
      </c>
      <c r="AD28"/>
      <c r="AE28" s="1421">
        <f>(AE7/$D$7+AE8/$D$8+AE9/$D$9+AE10/$D$10+AE11/$D$11+AE12/$D$12+AE13/$D$12+AE13/$D$13)/Q29</f>
        <v>12</v>
      </c>
      <c r="AF28" s="1421">
        <f>(AF7/$D$7+AF8/$D$8+AF9/$D$9+AF10/$D$10+AF11/$D$11+AF12/$D$12+AF13/$D$12+AF13/$D$13)/AD29</f>
        <v>12.96</v>
      </c>
      <c r="AG28" s="1421">
        <f>(AG7/$D$7+AG8/$D$8+AG9/$D$9+AG10/$D$10+AG11/$D$11+AG12/$D$12+AG13/$D$12+AG13/$D$13)/12</f>
        <v>13.9968</v>
      </c>
      <c r="AH28" s="1421">
        <f t="shared" ref="AH28:AN28" si="15">(AH7/$D$7+AH8/$D$8+AH9/$D$9+AH10/$D$10+AH11/$D$11+AH12/$D$12+AH13/$D$12+AH13/$D$13)/12</f>
        <v>15.116544000000003</v>
      </c>
      <c r="AI28" s="1421">
        <f t="shared" si="15"/>
        <v>16.325867520000003</v>
      </c>
      <c r="AJ28" s="1421">
        <f t="shared" si="15"/>
        <v>17.370723041280005</v>
      </c>
      <c r="AK28" s="1421">
        <f t="shared" si="15"/>
        <v>18.482449315921926</v>
      </c>
      <c r="AL28" s="1421">
        <f t="shared" si="15"/>
        <v>19.665326072140932</v>
      </c>
      <c r="AM28" s="1421">
        <f t="shared" si="15"/>
        <v>20.923906940757949</v>
      </c>
      <c r="AN28" s="1421">
        <f t="shared" si="15"/>
        <v>22.263036984966465</v>
      </c>
    </row>
    <row r="29" spans="1:40" x14ac:dyDescent="0.2">
      <c r="E29" s="1">
        <f>IF(E14=0,0,1)</f>
        <v>0</v>
      </c>
      <c r="F29" s="1">
        <f t="shared" ref="F29:AN29" si="16">IF(F14=0,0,1)</f>
        <v>0</v>
      </c>
      <c r="G29" s="1">
        <f t="shared" si="16"/>
        <v>0</v>
      </c>
      <c r="H29" s="1">
        <f t="shared" si="16"/>
        <v>0</v>
      </c>
      <c r="I29" s="1">
        <f t="shared" si="16"/>
        <v>1</v>
      </c>
      <c r="J29" s="1">
        <f t="shared" si="16"/>
        <v>1</v>
      </c>
      <c r="K29" s="1">
        <f t="shared" si="16"/>
        <v>1</v>
      </c>
      <c r="L29" s="1">
        <f t="shared" si="16"/>
        <v>1</v>
      </c>
      <c r="M29" s="1">
        <f t="shared" si="16"/>
        <v>1</v>
      </c>
      <c r="N29" s="1">
        <f t="shared" si="16"/>
        <v>1</v>
      </c>
      <c r="O29" s="1">
        <f t="shared" si="16"/>
        <v>1</v>
      </c>
      <c r="P29" s="1">
        <f t="shared" si="16"/>
        <v>1</v>
      </c>
      <c r="Q29" s="1">
        <f>SUM(E29:P29)</f>
        <v>8</v>
      </c>
      <c r="R29" s="1">
        <f t="shared" si="16"/>
        <v>1</v>
      </c>
      <c r="S29" s="1">
        <f t="shared" si="16"/>
        <v>1</v>
      </c>
      <c r="T29" s="1">
        <f t="shared" si="16"/>
        <v>1</v>
      </c>
      <c r="U29" s="1">
        <f t="shared" si="16"/>
        <v>1</v>
      </c>
      <c r="V29" s="1">
        <f t="shared" si="16"/>
        <v>1</v>
      </c>
      <c r="W29" s="1">
        <f t="shared" si="16"/>
        <v>1</v>
      </c>
      <c r="X29" s="1">
        <f t="shared" si="16"/>
        <v>1</v>
      </c>
      <c r="Y29" s="1">
        <f t="shared" si="16"/>
        <v>1</v>
      </c>
      <c r="Z29" s="1">
        <f t="shared" si="16"/>
        <v>1</v>
      </c>
      <c r="AA29" s="1">
        <f t="shared" si="16"/>
        <v>1</v>
      </c>
      <c r="AB29" s="1">
        <f t="shared" si="16"/>
        <v>1</v>
      </c>
      <c r="AC29" s="1">
        <f t="shared" si="16"/>
        <v>1</v>
      </c>
      <c r="AD29" s="1">
        <f>SUM(R29:AC29)</f>
        <v>12</v>
      </c>
      <c r="AE29" s="1">
        <f t="shared" si="16"/>
        <v>1</v>
      </c>
      <c r="AF29" s="1">
        <f t="shared" si="16"/>
        <v>1</v>
      </c>
      <c r="AG29" s="1">
        <f t="shared" si="16"/>
        <v>1</v>
      </c>
      <c r="AH29" s="1">
        <f t="shared" si="16"/>
        <v>1</v>
      </c>
      <c r="AI29" s="1">
        <f t="shared" si="16"/>
        <v>1</v>
      </c>
      <c r="AJ29" s="1">
        <f t="shared" si="16"/>
        <v>1</v>
      </c>
      <c r="AK29" s="1">
        <f t="shared" si="16"/>
        <v>1</v>
      </c>
      <c r="AL29" s="1">
        <f t="shared" si="16"/>
        <v>1</v>
      </c>
      <c r="AM29" s="1">
        <f t="shared" si="16"/>
        <v>1</v>
      </c>
      <c r="AN29" s="1">
        <f t="shared" si="16"/>
        <v>1</v>
      </c>
    </row>
  </sheetData>
  <customSheetViews>
    <customSheetView guid="{8FC2DB0D-4D0A-11D3-9924-0080ADC9B26E}" scale="50" fitToPage="1" hiddenRows="1" showRuler="0" topLeftCell="N1">
      <selection activeCell="AA28" sqref="AA28"/>
      <pageMargins left="0.98425196850393704" right="0.98425196850393704" top="0.98425196850393704" bottom="0.98425196850393704" header="0" footer="0"/>
      <printOptions horizontalCentered="1" verticalCentered="1"/>
      <pageSetup scale="55" orientation="landscape" blackAndWhite="1" horizontalDpi="300" verticalDpi="360" r:id="rId1"/>
      <headerFooter alignWithMargins="0">
        <oddFooter>&amp;L&amp;D&amp;R&amp;8Proyectos Especiales
SPDy GP</oddFooter>
      </headerFooter>
    </customSheetView>
  </customSheetViews>
  <mergeCells count="25">
    <mergeCell ref="A1:D1"/>
    <mergeCell ref="E1:K1"/>
    <mergeCell ref="L1:N1"/>
    <mergeCell ref="O1:Q1"/>
    <mergeCell ref="E5:P5"/>
    <mergeCell ref="Q5:Q6"/>
    <mergeCell ref="A2:D2"/>
    <mergeCell ref="E2:Q2"/>
    <mergeCell ref="R5:AC5"/>
    <mergeCell ref="A4:A6"/>
    <mergeCell ref="D4:D6"/>
    <mergeCell ref="E4:Q4"/>
    <mergeCell ref="AD5:AD6"/>
    <mergeCell ref="R4:AD4"/>
    <mergeCell ref="B4:B6"/>
    <mergeCell ref="C4:C6"/>
    <mergeCell ref="AE4:AN4"/>
    <mergeCell ref="AB1:AD1"/>
    <mergeCell ref="AE1:AH1"/>
    <mergeCell ref="AI1:AK1"/>
    <mergeCell ref="R2:AD2"/>
    <mergeCell ref="AE2:AN2"/>
    <mergeCell ref="Y1:AA1"/>
    <mergeCell ref="R1:X1"/>
    <mergeCell ref="AL1:AN1"/>
  </mergeCells>
  <phoneticPr fontId="20" type="noConversion"/>
  <pageMargins left="0.39370078740157483" right="0.39370078740157483" top="0.78740157480314965" bottom="0.59055118110236227" header="0.39370078740157483" footer="0.39370078740157483"/>
  <pageSetup scale="42" fitToWidth="3" orientation="landscape" blackAndWhite="1" horizontalDpi="4294967293" verticalDpi="300" r:id="rId2"/>
  <headerFooter alignWithMargins="0">
    <oddHeader>&amp;C&amp;"Arial,Negrita"&amp;7Estudio de Factibilidad para el establecimiento de un mercado de mariscos en Hermosillo, Sonora</oddHeader>
    <oddFooter>&amp;L&amp;"Arial,Normal"&amp;7&amp;F - Hoja: &amp;A&amp;C&amp;"Arial,Normal"&amp;7&amp;D&amp;R&amp;"Arial,Normal"&amp;7&amp;P de  &amp;N</oddFooter>
  </headerFooter>
  <colBreaks count="2" manualBreakCount="2">
    <brk id="17" max="27" man="1"/>
    <brk id="30" max="27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FF0000"/>
  </sheetPr>
  <dimension ref="A1:AN77"/>
  <sheetViews>
    <sheetView showGridLines="0" view="pageBreakPreview" topLeftCell="B3" zoomScale="60" zoomScaleNormal="60" workbookViewId="0">
      <selection activeCell="J34" sqref="J34"/>
    </sheetView>
  </sheetViews>
  <sheetFormatPr baseColWidth="10" defaultColWidth="11" defaultRowHeight="12.75" x14ac:dyDescent="0.2"/>
  <cols>
    <col min="1" max="1" width="36.75" style="1" customWidth="1"/>
    <col min="2" max="3" width="15.25" style="1" customWidth="1"/>
    <col min="4" max="5" width="15.25" style="12" customWidth="1"/>
    <col min="6" max="14" width="15.25" style="1" customWidth="1"/>
    <col min="15" max="15" width="24.5" style="1" customWidth="1"/>
    <col min="16" max="27" width="11" style="1"/>
    <col min="28" max="28" width="21" style="1" customWidth="1"/>
    <col min="29" max="16384" width="11" style="1"/>
  </cols>
  <sheetData>
    <row r="1" spans="1:40" s="9" customFormat="1" ht="21.6" customHeight="1" x14ac:dyDescent="0.35">
      <c r="A1" s="1932" t="s">
        <v>352</v>
      </c>
      <c r="B1" s="1943" t="str">
        <f>+'19 Resumen'!D4</f>
        <v>La Lasaña de Garfield</v>
      </c>
      <c r="C1" s="1944"/>
      <c r="D1" s="1944"/>
      <c r="E1" s="1944"/>
      <c r="F1" s="1944"/>
      <c r="G1" s="1944" t="str">
        <f>+'19 Resumen'!D5</f>
        <v>Martin Delgado</v>
      </c>
      <c r="H1" s="1944"/>
      <c r="I1" s="1944"/>
      <c r="J1" s="1944"/>
      <c r="K1" s="1944" t="str">
        <f>+'19 Resumen'!D6</f>
        <v>Grupo Delgado´s</v>
      </c>
      <c r="L1" s="1944"/>
      <c r="M1" s="1944"/>
      <c r="N1" s="1945"/>
      <c r="O1" s="65" t="s">
        <v>146</v>
      </c>
      <c r="P1" s="66"/>
      <c r="Q1" s="66"/>
      <c r="R1" s="67" t="s">
        <v>81</v>
      </c>
      <c r="S1" s="68">
        <f t="shared" ref="S1:AB1" si="0">+R8</f>
        <v>2017</v>
      </c>
      <c r="T1" s="68">
        <f t="shared" si="0"/>
        <v>2018</v>
      </c>
      <c r="U1" s="68">
        <f t="shared" si="0"/>
        <v>2019</v>
      </c>
      <c r="V1" s="68">
        <f t="shared" si="0"/>
        <v>2020</v>
      </c>
      <c r="W1" s="68">
        <f t="shared" si="0"/>
        <v>2021</v>
      </c>
      <c r="X1" s="68">
        <f t="shared" si="0"/>
        <v>2022</v>
      </c>
      <c r="Y1" s="68">
        <f t="shared" si="0"/>
        <v>2023</v>
      </c>
      <c r="Z1" s="68">
        <f t="shared" si="0"/>
        <v>2024</v>
      </c>
      <c r="AA1" s="68">
        <f t="shared" si="0"/>
        <v>2025</v>
      </c>
      <c r="AB1" s="68">
        <f t="shared" si="0"/>
        <v>2026</v>
      </c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69"/>
      <c r="AN1" s="69"/>
    </row>
    <row r="2" spans="1:40" s="8" customFormat="1" ht="21.6" customHeight="1" thickBot="1" x14ac:dyDescent="0.35">
      <c r="A2" s="1933"/>
      <c r="B2" s="1924" t="s">
        <v>194</v>
      </c>
      <c r="C2" s="1925"/>
      <c r="D2" s="1925"/>
      <c r="E2" s="1925"/>
      <c r="F2" s="1925"/>
      <c r="G2" s="1925"/>
      <c r="H2" s="1925"/>
      <c r="I2" s="1925"/>
      <c r="J2" s="1925"/>
      <c r="K2" s="1925"/>
      <c r="L2" s="1925"/>
      <c r="M2" s="1925"/>
      <c r="N2" s="1926"/>
      <c r="O2" s="70" t="str">
        <f t="shared" ref="O2:Q4" si="1">+A10</f>
        <v>Construcción</v>
      </c>
      <c r="P2" s="71">
        <f t="shared" si="1"/>
        <v>20</v>
      </c>
      <c r="Q2" s="72">
        <f t="shared" si="1"/>
        <v>0.05</v>
      </c>
      <c r="R2" s="71">
        <f t="shared" ref="R2:AB4" si="2">+D10*$C10</f>
        <v>0</v>
      </c>
      <c r="S2" s="71">
        <f t="shared" si="2"/>
        <v>0</v>
      </c>
      <c r="T2" s="71">
        <f t="shared" si="2"/>
        <v>175000</v>
      </c>
      <c r="U2" s="71">
        <f t="shared" si="2"/>
        <v>0</v>
      </c>
      <c r="V2" s="71">
        <f t="shared" si="2"/>
        <v>0</v>
      </c>
      <c r="W2" s="71">
        <f t="shared" si="2"/>
        <v>0</v>
      </c>
      <c r="X2" s="71">
        <f t="shared" si="2"/>
        <v>0</v>
      </c>
      <c r="Y2" s="71">
        <f t="shared" si="2"/>
        <v>0</v>
      </c>
      <c r="Z2" s="71">
        <f t="shared" si="2"/>
        <v>0</v>
      </c>
      <c r="AA2" s="71">
        <f t="shared" si="2"/>
        <v>0</v>
      </c>
      <c r="AB2" s="71">
        <f t="shared" si="2"/>
        <v>0</v>
      </c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73"/>
    </row>
    <row r="3" spans="1:40" s="8" customFormat="1" ht="21.6" customHeight="1" thickBot="1" x14ac:dyDescent="0.35">
      <c r="A3" s="74">
        <f>+'19 Resumen'!D2</f>
        <v>42747</v>
      </c>
      <c r="B3" s="1946" t="s">
        <v>245</v>
      </c>
      <c r="C3" s="1946"/>
      <c r="D3" s="1946"/>
      <c r="E3" s="1946"/>
      <c r="F3" s="1946"/>
      <c r="G3" s="1946"/>
      <c r="H3" s="1946"/>
      <c r="I3" s="1946"/>
      <c r="J3" s="1946"/>
      <c r="K3" s="1946"/>
      <c r="L3" s="1946"/>
      <c r="M3" s="1946"/>
      <c r="N3" s="1641"/>
      <c r="O3" s="70" t="str">
        <f t="shared" si="1"/>
        <v>Maquinaria y equipo</v>
      </c>
      <c r="P3" s="71">
        <f t="shared" si="1"/>
        <v>5</v>
      </c>
      <c r="Q3" s="72">
        <f t="shared" si="1"/>
        <v>0.2</v>
      </c>
      <c r="R3" s="71">
        <f t="shared" si="2"/>
        <v>0</v>
      </c>
      <c r="S3" s="71">
        <f t="shared" si="2"/>
        <v>33000</v>
      </c>
      <c r="T3" s="71">
        <f t="shared" si="2"/>
        <v>0</v>
      </c>
      <c r="U3" s="71">
        <f t="shared" si="2"/>
        <v>10000</v>
      </c>
      <c r="V3" s="71">
        <f t="shared" si="2"/>
        <v>0</v>
      </c>
      <c r="W3" s="71">
        <f t="shared" si="2"/>
        <v>0</v>
      </c>
      <c r="X3" s="71">
        <f t="shared" si="2"/>
        <v>10000</v>
      </c>
      <c r="Y3" s="71">
        <f t="shared" si="2"/>
        <v>0</v>
      </c>
      <c r="Z3" s="71">
        <f t="shared" si="2"/>
        <v>3000</v>
      </c>
      <c r="AA3" s="71">
        <f t="shared" si="2"/>
        <v>0</v>
      </c>
      <c r="AB3" s="71">
        <f t="shared" si="2"/>
        <v>10000</v>
      </c>
      <c r="AC3" s="73"/>
      <c r="AD3" s="73"/>
      <c r="AE3" s="73"/>
      <c r="AF3" s="73"/>
      <c r="AG3" s="73"/>
      <c r="AH3" s="73"/>
      <c r="AI3" s="73"/>
      <c r="AJ3" s="73"/>
      <c r="AK3" s="73"/>
      <c r="AL3" s="73"/>
      <c r="AM3" s="73"/>
      <c r="AN3" s="73"/>
    </row>
    <row r="4" spans="1:40" s="8" customFormat="1" ht="21.6" hidden="1" customHeight="1" thickBot="1" x14ac:dyDescent="0.35">
      <c r="A4" s="75"/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7"/>
      <c r="O4" s="70" t="str">
        <f t="shared" si="1"/>
        <v>Equipo de transporte</v>
      </c>
      <c r="P4" s="71">
        <f t="shared" si="1"/>
        <v>5</v>
      </c>
      <c r="Q4" s="72">
        <f t="shared" si="1"/>
        <v>0.2</v>
      </c>
      <c r="R4" s="71">
        <f t="shared" si="2"/>
        <v>58000</v>
      </c>
      <c r="S4" s="71">
        <f t="shared" si="2"/>
        <v>35000</v>
      </c>
      <c r="T4" s="71">
        <f t="shared" si="2"/>
        <v>36000</v>
      </c>
      <c r="U4" s="71">
        <f t="shared" si="2"/>
        <v>28000</v>
      </c>
      <c r="V4" s="71">
        <f t="shared" si="2"/>
        <v>0</v>
      </c>
      <c r="W4" s="71">
        <f t="shared" si="2"/>
        <v>44000</v>
      </c>
      <c r="X4" s="71">
        <f t="shared" si="2"/>
        <v>0</v>
      </c>
      <c r="Y4" s="71">
        <f t="shared" si="2"/>
        <v>28000</v>
      </c>
      <c r="Z4" s="71">
        <f t="shared" si="2"/>
        <v>60000</v>
      </c>
      <c r="AA4" s="71">
        <f t="shared" si="2"/>
        <v>0</v>
      </c>
      <c r="AB4" s="71">
        <f t="shared" si="2"/>
        <v>0</v>
      </c>
      <c r="AC4" s="73"/>
      <c r="AD4" s="73"/>
      <c r="AE4" s="73"/>
      <c r="AF4" s="73"/>
      <c r="AG4" s="73"/>
      <c r="AH4" s="73"/>
      <c r="AI4" s="73"/>
      <c r="AJ4" s="73"/>
      <c r="AK4" s="73"/>
      <c r="AL4" s="73"/>
      <c r="AM4" s="73"/>
      <c r="AN4" s="73"/>
    </row>
    <row r="5" spans="1:40" s="9" customFormat="1" ht="21.6" customHeight="1" x14ac:dyDescent="0.3">
      <c r="A5" s="1929" t="s">
        <v>0</v>
      </c>
      <c r="B5" s="1927" t="s">
        <v>247</v>
      </c>
      <c r="C5" s="1947" t="s">
        <v>37</v>
      </c>
      <c r="D5" s="78" t="s">
        <v>236</v>
      </c>
      <c r="E5" s="78" t="s">
        <v>236</v>
      </c>
      <c r="F5" s="78" t="s">
        <v>236</v>
      </c>
      <c r="G5" s="79" t="s">
        <v>236</v>
      </c>
      <c r="H5" s="79" t="s">
        <v>236</v>
      </c>
      <c r="I5" s="79" t="s">
        <v>236</v>
      </c>
      <c r="J5" s="79" t="s">
        <v>236</v>
      </c>
      <c r="K5" s="79" t="s">
        <v>236</v>
      </c>
      <c r="L5" s="79" t="s">
        <v>236</v>
      </c>
      <c r="M5" s="79" t="s">
        <v>236</v>
      </c>
      <c r="N5" s="80" t="s">
        <v>236</v>
      </c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  <c r="AH5" s="69"/>
      <c r="AI5" s="69"/>
      <c r="AJ5" s="69"/>
      <c r="AK5" s="69"/>
      <c r="AL5" s="69"/>
      <c r="AM5" s="69"/>
      <c r="AN5" s="69"/>
    </row>
    <row r="6" spans="1:40" s="9" customFormat="1" ht="21.6" customHeight="1" thickBot="1" x14ac:dyDescent="0.35">
      <c r="A6" s="1930"/>
      <c r="B6" s="1928"/>
      <c r="C6" s="1948"/>
      <c r="D6" s="81" t="s">
        <v>81</v>
      </c>
      <c r="E6" s="81">
        <f>YEAR('19 Resumen'!D3)</f>
        <v>2017</v>
      </c>
      <c r="F6" s="81">
        <f>+E6+1</f>
        <v>2018</v>
      </c>
      <c r="G6" s="82">
        <f t="shared" ref="G6:N6" si="3">+F6+1</f>
        <v>2019</v>
      </c>
      <c r="H6" s="82">
        <f t="shared" si="3"/>
        <v>2020</v>
      </c>
      <c r="I6" s="82">
        <f t="shared" si="3"/>
        <v>2021</v>
      </c>
      <c r="J6" s="82">
        <f t="shared" si="3"/>
        <v>2022</v>
      </c>
      <c r="K6" s="82">
        <f t="shared" si="3"/>
        <v>2023</v>
      </c>
      <c r="L6" s="82">
        <f t="shared" si="3"/>
        <v>2024</v>
      </c>
      <c r="M6" s="82">
        <f t="shared" si="3"/>
        <v>2025</v>
      </c>
      <c r="N6" s="83">
        <f t="shared" si="3"/>
        <v>2026</v>
      </c>
      <c r="O6" s="69"/>
      <c r="P6" s="69"/>
      <c r="Q6" s="69"/>
      <c r="R6" s="69"/>
      <c r="S6" s="69"/>
      <c r="T6" s="69"/>
      <c r="U6" s="69"/>
      <c r="V6" s="69"/>
      <c r="W6" s="69"/>
      <c r="X6" s="69"/>
      <c r="Y6" s="69"/>
      <c r="Z6" s="69"/>
      <c r="AA6" s="69"/>
      <c r="AB6" s="69"/>
      <c r="AC6" s="69"/>
      <c r="AD6" s="69"/>
      <c r="AE6" s="69"/>
      <c r="AF6" s="69"/>
      <c r="AG6" s="69"/>
      <c r="AH6" s="69"/>
      <c r="AI6" s="69"/>
      <c r="AJ6" s="69"/>
      <c r="AK6" s="69"/>
      <c r="AL6" s="69"/>
      <c r="AM6" s="69"/>
      <c r="AN6" s="69"/>
    </row>
    <row r="7" spans="1:40" ht="15" customHeight="1" x14ac:dyDescent="0.3">
      <c r="A7" s="84"/>
      <c r="B7" s="85"/>
      <c r="C7" s="85"/>
      <c r="D7" s="86"/>
      <c r="E7" s="87"/>
      <c r="F7" s="87"/>
      <c r="G7" s="87"/>
      <c r="H7" s="87"/>
      <c r="I7" s="87"/>
      <c r="J7" s="88"/>
      <c r="K7" s="88"/>
      <c r="L7" s="88"/>
      <c r="M7" s="88"/>
      <c r="N7" s="88"/>
      <c r="O7" s="89"/>
      <c r="P7" s="89"/>
      <c r="Q7" s="89"/>
      <c r="R7" s="1941" t="s">
        <v>147</v>
      </c>
      <c r="S7" s="1941"/>
      <c r="T7" s="1941"/>
      <c r="U7" s="1941"/>
      <c r="V7" s="1941"/>
      <c r="W7" s="1941"/>
      <c r="X7" s="1941"/>
      <c r="Y7" s="1941"/>
      <c r="Z7" s="1941"/>
      <c r="AA7" s="1941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</row>
    <row r="8" spans="1:40" ht="15" customHeight="1" thickBot="1" x14ac:dyDescent="0.4">
      <c r="A8" s="1949" t="s">
        <v>248</v>
      </c>
      <c r="B8" s="1949"/>
      <c r="C8" s="1949"/>
      <c r="D8" s="1949"/>
      <c r="E8" s="1949"/>
      <c r="F8" s="1949"/>
      <c r="G8" s="1949"/>
      <c r="H8" s="1949"/>
      <c r="I8" s="1949"/>
      <c r="J8" s="1949"/>
      <c r="K8" s="1949"/>
      <c r="L8" s="1949"/>
      <c r="M8" s="1949"/>
      <c r="N8" s="1949"/>
      <c r="O8" s="89"/>
      <c r="P8" s="89"/>
      <c r="Q8" s="89">
        <f>+$B$10</f>
        <v>20</v>
      </c>
      <c r="R8" s="90">
        <f>+Q9</f>
        <v>2017</v>
      </c>
      <c r="S8" s="90">
        <f>+Q9+1</f>
        <v>2018</v>
      </c>
      <c r="T8" s="91">
        <f t="shared" ref="T8:AA8" si="4">+S8+1</f>
        <v>2019</v>
      </c>
      <c r="U8" s="91">
        <f t="shared" si="4"/>
        <v>2020</v>
      </c>
      <c r="V8" s="91">
        <f t="shared" si="4"/>
        <v>2021</v>
      </c>
      <c r="W8" s="91">
        <f t="shared" si="4"/>
        <v>2022</v>
      </c>
      <c r="X8" s="91">
        <f t="shared" si="4"/>
        <v>2023</v>
      </c>
      <c r="Y8" s="91">
        <f t="shared" si="4"/>
        <v>2024</v>
      </c>
      <c r="Z8" s="91">
        <f t="shared" si="4"/>
        <v>2025</v>
      </c>
      <c r="AA8" s="92">
        <f t="shared" si="4"/>
        <v>2026</v>
      </c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8"/>
      <c r="AM8" s="28"/>
      <c r="AN8" s="28"/>
    </row>
    <row r="9" spans="1:40" ht="16.5" customHeight="1" thickBot="1" x14ac:dyDescent="0.4">
      <c r="A9" s="1950" t="s">
        <v>145</v>
      </c>
      <c r="B9" s="1951"/>
      <c r="C9" s="1951"/>
      <c r="D9" s="1951"/>
      <c r="E9" s="1951"/>
      <c r="F9" s="1951"/>
      <c r="G9" s="1951"/>
      <c r="H9" s="1951"/>
      <c r="I9" s="1951"/>
      <c r="J9" s="1951"/>
      <c r="K9" s="1951"/>
      <c r="L9" s="1951"/>
      <c r="M9" s="1951"/>
      <c r="N9" s="1952"/>
      <c r="O9" s="89"/>
      <c r="P9" s="89">
        <f>+R2+S2</f>
        <v>0</v>
      </c>
      <c r="Q9" s="93">
        <f>+E6</f>
        <v>2017</v>
      </c>
      <c r="R9" s="89">
        <f>+P9</f>
        <v>0</v>
      </c>
      <c r="S9" s="89">
        <f>IF($Q$8&gt;=(S$8-$Q9+1),$P9*(S$8-$Q9+1),0)</f>
        <v>0</v>
      </c>
      <c r="T9" s="89">
        <f>IF($Q$8&gt;=(T$8-$Q9+1),$P9*(T$8-$Q9+1),0)</f>
        <v>0</v>
      </c>
      <c r="U9" s="89">
        <f t="shared" ref="U9:AA17" si="5">IF($Q$8&gt;=(U$8-$Q9+1),$P9*(U$8-$Q9+1),0)</f>
        <v>0</v>
      </c>
      <c r="V9" s="89">
        <f t="shared" si="5"/>
        <v>0</v>
      </c>
      <c r="W9" s="89">
        <f t="shared" si="5"/>
        <v>0</v>
      </c>
      <c r="X9" s="89">
        <f t="shared" si="5"/>
        <v>0</v>
      </c>
      <c r="Y9" s="89">
        <f t="shared" si="5"/>
        <v>0</v>
      </c>
      <c r="Z9" s="89">
        <f t="shared" si="5"/>
        <v>0</v>
      </c>
      <c r="AA9" s="89">
        <f t="shared" si="5"/>
        <v>0</v>
      </c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  <c r="AN9" s="28"/>
    </row>
    <row r="10" spans="1:40" ht="16.5" customHeight="1" thickBot="1" x14ac:dyDescent="0.4">
      <c r="A10" s="94" t="s">
        <v>8</v>
      </c>
      <c r="B10" s="95">
        <v>20</v>
      </c>
      <c r="C10" s="96">
        <f>1/B10</f>
        <v>0.05</v>
      </c>
      <c r="D10" s="97">
        <f>+'8 Programa de Inversiónes'!C18</f>
        <v>0</v>
      </c>
      <c r="E10" s="97">
        <f>+'8 Programa de Inversiónes'!D18</f>
        <v>0</v>
      </c>
      <c r="F10" s="97">
        <f>+'8 Programa de Inversiónes'!E18</f>
        <v>3500000</v>
      </c>
      <c r="G10" s="97">
        <f>+'8 Programa de Inversiónes'!F18</f>
        <v>0</v>
      </c>
      <c r="H10" s="97">
        <f>+'8 Programa de Inversiónes'!G18</f>
        <v>0</v>
      </c>
      <c r="I10" s="97">
        <f>+'8 Programa de Inversiónes'!H18</f>
        <v>0</v>
      </c>
      <c r="J10" s="97">
        <f>+'8 Programa de Inversiónes'!I18</f>
        <v>0</v>
      </c>
      <c r="K10" s="97">
        <f>+'8 Programa de Inversiónes'!J18</f>
        <v>0</v>
      </c>
      <c r="L10" s="97">
        <f>+'8 Programa de Inversiónes'!K18</f>
        <v>0</v>
      </c>
      <c r="M10" s="97">
        <f>+'8 Programa de Inversiónes'!L18</f>
        <v>0</v>
      </c>
      <c r="N10" s="98">
        <f>+'8 Programa de Inversiónes'!M18</f>
        <v>0</v>
      </c>
      <c r="O10" s="89"/>
      <c r="P10" s="89">
        <f>+T2</f>
        <v>175000</v>
      </c>
      <c r="Q10" s="93">
        <f t="shared" ref="Q10:Q18" si="6">+Q9+1</f>
        <v>2018</v>
      </c>
      <c r="R10" s="89"/>
      <c r="S10" s="89">
        <f>+P10</f>
        <v>175000</v>
      </c>
      <c r="T10" s="89">
        <f>IF($Q$8&gt;=(T$8-$Q10+1),$P10*(T$8-$Q10+1),0)</f>
        <v>350000</v>
      </c>
      <c r="U10" s="89">
        <f t="shared" si="5"/>
        <v>525000</v>
      </c>
      <c r="V10" s="89">
        <f t="shared" si="5"/>
        <v>700000</v>
      </c>
      <c r="W10" s="89">
        <f t="shared" si="5"/>
        <v>875000</v>
      </c>
      <c r="X10" s="89">
        <f t="shared" si="5"/>
        <v>1050000</v>
      </c>
      <c r="Y10" s="89">
        <f t="shared" si="5"/>
        <v>1225000</v>
      </c>
      <c r="Z10" s="89">
        <f t="shared" si="5"/>
        <v>1400000</v>
      </c>
      <c r="AA10" s="89">
        <f t="shared" si="5"/>
        <v>1575000</v>
      </c>
      <c r="AB10" s="28"/>
      <c r="AC10" s="28"/>
      <c r="AD10" s="28"/>
      <c r="AE10" s="28"/>
      <c r="AF10" s="28"/>
      <c r="AG10" s="28"/>
      <c r="AH10" s="28"/>
      <c r="AI10" s="28"/>
      <c r="AJ10" s="28"/>
      <c r="AK10" s="28"/>
      <c r="AL10" s="28"/>
      <c r="AM10" s="28"/>
      <c r="AN10" s="28"/>
    </row>
    <row r="11" spans="1:40" ht="16.5" customHeight="1" thickBot="1" x14ac:dyDescent="0.4">
      <c r="A11" s="94" t="s">
        <v>28</v>
      </c>
      <c r="B11" s="95">
        <v>5</v>
      </c>
      <c r="C11" s="96">
        <f>1/B11</f>
        <v>0.2</v>
      </c>
      <c r="D11" s="97">
        <f>+'8 Programa de Inversiónes'!C27</f>
        <v>0</v>
      </c>
      <c r="E11" s="97">
        <f>+'8 Programa de Inversiónes'!D27</f>
        <v>165000</v>
      </c>
      <c r="F11" s="97">
        <f>+'8 Programa de Inversiónes'!E27</f>
        <v>0</v>
      </c>
      <c r="G11" s="97">
        <f>+'8 Programa de Inversiónes'!F27</f>
        <v>50000</v>
      </c>
      <c r="H11" s="97">
        <f>+'8 Programa de Inversiónes'!G27</f>
        <v>0</v>
      </c>
      <c r="I11" s="97">
        <f>+'8 Programa de Inversiónes'!H27</f>
        <v>0</v>
      </c>
      <c r="J11" s="97">
        <f>+'8 Programa de Inversiónes'!I27</f>
        <v>50000</v>
      </c>
      <c r="K11" s="97">
        <f>+'8 Programa de Inversiónes'!J27</f>
        <v>0</v>
      </c>
      <c r="L11" s="97">
        <f>+'8 Programa de Inversiónes'!K27</f>
        <v>15000</v>
      </c>
      <c r="M11" s="97">
        <f>+'8 Programa de Inversiónes'!L27</f>
        <v>0</v>
      </c>
      <c r="N11" s="98">
        <f>+'8 Programa de Inversiónes'!M27</f>
        <v>50000</v>
      </c>
      <c r="O11" s="89"/>
      <c r="P11" s="89">
        <f>+U2</f>
        <v>0</v>
      </c>
      <c r="Q11" s="93">
        <f t="shared" si="6"/>
        <v>2019</v>
      </c>
      <c r="R11" s="89"/>
      <c r="S11" s="89"/>
      <c r="T11" s="89">
        <f>+P11</f>
        <v>0</v>
      </c>
      <c r="U11" s="89">
        <f t="shared" si="5"/>
        <v>0</v>
      </c>
      <c r="V11" s="89">
        <f t="shared" si="5"/>
        <v>0</v>
      </c>
      <c r="W11" s="89">
        <f t="shared" si="5"/>
        <v>0</v>
      </c>
      <c r="X11" s="89">
        <f t="shared" si="5"/>
        <v>0</v>
      </c>
      <c r="Y11" s="89">
        <f t="shared" si="5"/>
        <v>0</v>
      </c>
      <c r="Z11" s="89">
        <f t="shared" si="5"/>
        <v>0</v>
      </c>
      <c r="AA11" s="89">
        <f t="shared" si="5"/>
        <v>0</v>
      </c>
      <c r="AB11" s="28"/>
      <c r="AC11" s="28"/>
      <c r="AD11" s="28"/>
      <c r="AE11" s="28"/>
      <c r="AF11" s="28"/>
      <c r="AG11" s="28"/>
      <c r="AH11" s="28"/>
      <c r="AI11" s="28"/>
      <c r="AJ11" s="28"/>
      <c r="AK11" s="28"/>
      <c r="AL11" s="28"/>
      <c r="AM11" s="28"/>
      <c r="AN11" s="28"/>
    </row>
    <row r="12" spans="1:40" ht="16.5" customHeight="1" thickBot="1" x14ac:dyDescent="0.4">
      <c r="A12" s="99" t="s">
        <v>11</v>
      </c>
      <c r="B12" s="100">
        <v>5</v>
      </c>
      <c r="C12" s="101">
        <f>1/B12</f>
        <v>0.2</v>
      </c>
      <c r="D12" s="102">
        <f>+'8 Programa de Inversiónes'!C45</f>
        <v>290000</v>
      </c>
      <c r="E12" s="102">
        <f>+'8 Programa de Inversiónes'!D45</f>
        <v>175000</v>
      </c>
      <c r="F12" s="102">
        <f>+'8 Programa de Inversiónes'!E45</f>
        <v>180000</v>
      </c>
      <c r="G12" s="102">
        <f>+'8 Programa de Inversiónes'!F45</f>
        <v>140000</v>
      </c>
      <c r="H12" s="102">
        <f>+'8 Programa de Inversiónes'!G45</f>
        <v>0</v>
      </c>
      <c r="I12" s="102">
        <f>+'8 Programa de Inversiónes'!H45</f>
        <v>220000</v>
      </c>
      <c r="J12" s="102">
        <f>+'8 Programa de Inversiónes'!I45</f>
        <v>0</v>
      </c>
      <c r="K12" s="102">
        <f>+'8 Programa de Inversiónes'!J45</f>
        <v>140000</v>
      </c>
      <c r="L12" s="102">
        <f>+'8 Programa de Inversiónes'!K45</f>
        <v>300000</v>
      </c>
      <c r="M12" s="102">
        <f>+'8 Programa de Inversiónes'!L45</f>
        <v>0</v>
      </c>
      <c r="N12" s="103">
        <f>+'8 Programa de Inversiónes'!M45</f>
        <v>0</v>
      </c>
      <c r="O12" s="89"/>
      <c r="P12" s="89">
        <f>+V2</f>
        <v>0</v>
      </c>
      <c r="Q12" s="93">
        <f t="shared" si="6"/>
        <v>2020</v>
      </c>
      <c r="R12" s="89"/>
      <c r="S12" s="89"/>
      <c r="T12" s="89"/>
      <c r="U12" s="89">
        <f>+P12</f>
        <v>0</v>
      </c>
      <c r="V12" s="89">
        <f t="shared" si="5"/>
        <v>0</v>
      </c>
      <c r="W12" s="89">
        <f t="shared" si="5"/>
        <v>0</v>
      </c>
      <c r="X12" s="89">
        <f t="shared" si="5"/>
        <v>0</v>
      </c>
      <c r="Y12" s="89">
        <f t="shared" si="5"/>
        <v>0</v>
      </c>
      <c r="Z12" s="89">
        <f t="shared" si="5"/>
        <v>0</v>
      </c>
      <c r="AA12" s="89">
        <f t="shared" si="5"/>
        <v>0</v>
      </c>
      <c r="AB12" s="28"/>
      <c r="AC12" s="28"/>
      <c r="AD12" s="28"/>
      <c r="AE12" s="28"/>
      <c r="AF12" s="28"/>
      <c r="AG12" s="28"/>
      <c r="AH12" s="28"/>
      <c r="AI12" s="28"/>
      <c r="AJ12" s="28"/>
      <c r="AK12" s="28"/>
      <c r="AL12" s="28"/>
      <c r="AM12" s="28"/>
      <c r="AN12" s="28"/>
    </row>
    <row r="13" spans="1:40" s="2" customFormat="1" ht="16.5" customHeight="1" thickBot="1" x14ac:dyDescent="0.4">
      <c r="A13" s="104"/>
      <c r="B13" s="105"/>
      <c r="C13" s="105"/>
      <c r="D13" s="105"/>
      <c r="E13" s="106"/>
      <c r="F13" s="106"/>
      <c r="G13" s="106"/>
      <c r="H13" s="106"/>
      <c r="I13" s="106"/>
      <c r="J13" s="105"/>
      <c r="K13" s="105"/>
      <c r="L13" s="105"/>
      <c r="M13" s="105"/>
      <c r="N13" s="105"/>
      <c r="O13" s="107"/>
      <c r="P13" s="89">
        <f>+W2</f>
        <v>0</v>
      </c>
      <c r="Q13" s="93">
        <f t="shared" si="6"/>
        <v>2021</v>
      </c>
      <c r="R13" s="89"/>
      <c r="S13" s="89"/>
      <c r="T13" s="89"/>
      <c r="U13" s="89"/>
      <c r="V13" s="89">
        <f>+P13</f>
        <v>0</v>
      </c>
      <c r="W13" s="89">
        <f t="shared" si="5"/>
        <v>0</v>
      </c>
      <c r="X13" s="89">
        <f t="shared" si="5"/>
        <v>0</v>
      </c>
      <c r="Y13" s="89">
        <f t="shared" si="5"/>
        <v>0</v>
      </c>
      <c r="Z13" s="89">
        <f t="shared" si="5"/>
        <v>0</v>
      </c>
      <c r="AA13" s="89">
        <f t="shared" si="5"/>
        <v>0</v>
      </c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</row>
    <row r="14" spans="1:40" s="2" customFormat="1" ht="16.5" customHeight="1" thickBot="1" x14ac:dyDescent="0.4">
      <c r="A14" s="1920" t="s">
        <v>148</v>
      </c>
      <c r="B14" s="1931"/>
      <c r="C14" s="1931"/>
      <c r="D14" s="1931"/>
      <c r="E14" s="1931"/>
      <c r="F14" s="1931"/>
      <c r="G14" s="1931"/>
      <c r="H14" s="1931"/>
      <c r="I14" s="1931"/>
      <c r="J14" s="1931"/>
      <c r="K14" s="1931"/>
      <c r="L14" s="1931"/>
      <c r="M14" s="1931"/>
      <c r="N14" s="1931"/>
      <c r="O14" s="107"/>
      <c r="P14" s="89">
        <f>+X2</f>
        <v>0</v>
      </c>
      <c r="Q14" s="93">
        <f t="shared" si="6"/>
        <v>2022</v>
      </c>
      <c r="R14" s="89"/>
      <c r="S14" s="89"/>
      <c r="T14" s="89"/>
      <c r="U14" s="89"/>
      <c r="V14" s="89"/>
      <c r="W14" s="89">
        <f>+P14</f>
        <v>0</v>
      </c>
      <c r="X14" s="89">
        <f t="shared" si="5"/>
        <v>0</v>
      </c>
      <c r="Y14" s="89">
        <f t="shared" si="5"/>
        <v>0</v>
      </c>
      <c r="Z14" s="89">
        <f t="shared" si="5"/>
        <v>0</v>
      </c>
      <c r="AA14" s="89">
        <f t="shared" si="5"/>
        <v>0</v>
      </c>
      <c r="AB14" s="28"/>
      <c r="AC14" s="28"/>
      <c r="AD14" s="28"/>
      <c r="AE14" s="28"/>
      <c r="AF14" s="28"/>
      <c r="AG14" s="28"/>
      <c r="AH14" s="28"/>
      <c r="AI14" s="28"/>
      <c r="AJ14" s="28"/>
      <c r="AK14" s="28"/>
      <c r="AL14" s="28"/>
      <c r="AM14" s="28"/>
      <c r="AN14" s="28"/>
    </row>
    <row r="15" spans="1:40" s="2" customFormat="1" ht="16.5" customHeight="1" thickBot="1" x14ac:dyDescent="0.4">
      <c r="A15" s="108" t="str">
        <f t="shared" ref="A15:B17" si="7">+A10</f>
        <v>Construcción</v>
      </c>
      <c r="B15" s="109">
        <f t="shared" si="7"/>
        <v>20</v>
      </c>
      <c r="C15" s="110">
        <f>1/B15</f>
        <v>0.05</v>
      </c>
      <c r="D15" s="111"/>
      <c r="E15" s="112">
        <f>+R19</f>
        <v>0</v>
      </c>
      <c r="F15" s="112">
        <f t="shared" ref="F15:N15" si="8">+S19</f>
        <v>175000</v>
      </c>
      <c r="G15" s="112">
        <f t="shared" si="8"/>
        <v>350000</v>
      </c>
      <c r="H15" s="112">
        <f t="shared" si="8"/>
        <v>525000</v>
      </c>
      <c r="I15" s="112">
        <f t="shared" si="8"/>
        <v>700000</v>
      </c>
      <c r="J15" s="112">
        <f t="shared" si="8"/>
        <v>875000</v>
      </c>
      <c r="K15" s="112">
        <f t="shared" si="8"/>
        <v>1050000</v>
      </c>
      <c r="L15" s="112">
        <f t="shared" si="8"/>
        <v>1225000</v>
      </c>
      <c r="M15" s="112">
        <f t="shared" si="8"/>
        <v>1400000</v>
      </c>
      <c r="N15" s="113">
        <f t="shared" si="8"/>
        <v>1575000</v>
      </c>
      <c r="O15" s="107"/>
      <c r="P15" s="89">
        <f>+Y2</f>
        <v>0</v>
      </c>
      <c r="Q15" s="93">
        <f t="shared" si="6"/>
        <v>2023</v>
      </c>
      <c r="R15" s="89"/>
      <c r="S15" s="89"/>
      <c r="T15" s="89"/>
      <c r="U15" s="89"/>
      <c r="V15" s="89"/>
      <c r="W15" s="89"/>
      <c r="X15" s="89">
        <f>+P15</f>
        <v>0</v>
      </c>
      <c r="Y15" s="89">
        <f t="shared" si="5"/>
        <v>0</v>
      </c>
      <c r="Z15" s="89">
        <f t="shared" si="5"/>
        <v>0</v>
      </c>
      <c r="AA15" s="89">
        <f t="shared" si="5"/>
        <v>0</v>
      </c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8"/>
      <c r="AN15" s="28"/>
    </row>
    <row r="16" spans="1:40" s="2" customFormat="1" ht="16.5" customHeight="1" thickBot="1" x14ac:dyDescent="0.4">
      <c r="A16" s="94" t="str">
        <f t="shared" si="7"/>
        <v>Maquinaria y equipo</v>
      </c>
      <c r="B16" s="114">
        <f t="shared" si="7"/>
        <v>5</v>
      </c>
      <c r="C16" s="96">
        <f>1/B16</f>
        <v>0.2</v>
      </c>
      <c r="D16" s="115"/>
      <c r="E16" s="97">
        <f>+R35</f>
        <v>33000</v>
      </c>
      <c r="F16" s="97">
        <f t="shared" ref="F16:N16" si="9">+S35</f>
        <v>66000</v>
      </c>
      <c r="G16" s="97">
        <f t="shared" si="9"/>
        <v>109000</v>
      </c>
      <c r="H16" s="97">
        <f t="shared" si="9"/>
        <v>152000</v>
      </c>
      <c r="I16" s="97">
        <f t="shared" si="9"/>
        <v>195000</v>
      </c>
      <c r="J16" s="97">
        <f t="shared" si="9"/>
        <v>215000</v>
      </c>
      <c r="K16" s="97">
        <f t="shared" si="9"/>
        <v>235000</v>
      </c>
      <c r="L16" s="97">
        <f t="shared" si="9"/>
        <v>248000</v>
      </c>
      <c r="M16" s="97">
        <f t="shared" si="9"/>
        <v>261000</v>
      </c>
      <c r="N16" s="98">
        <f t="shared" si="9"/>
        <v>284000</v>
      </c>
      <c r="O16" s="107"/>
      <c r="P16" s="89">
        <f>+Z2</f>
        <v>0</v>
      </c>
      <c r="Q16" s="93">
        <f t="shared" si="6"/>
        <v>2024</v>
      </c>
      <c r="R16" s="89"/>
      <c r="S16" s="89"/>
      <c r="T16" s="89"/>
      <c r="U16" s="89"/>
      <c r="V16" s="89"/>
      <c r="W16" s="89"/>
      <c r="X16" s="89"/>
      <c r="Y16" s="89">
        <f>+P16</f>
        <v>0</v>
      </c>
      <c r="Z16" s="89">
        <f t="shared" si="5"/>
        <v>0</v>
      </c>
      <c r="AA16" s="89">
        <f t="shared" si="5"/>
        <v>0</v>
      </c>
      <c r="AB16" s="107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28"/>
    </row>
    <row r="17" spans="1:40" s="2" customFormat="1" ht="16.5" customHeight="1" thickBot="1" x14ac:dyDescent="0.4">
      <c r="A17" s="99" t="str">
        <f t="shared" si="7"/>
        <v>Equipo de transporte</v>
      </c>
      <c r="B17" s="116">
        <f t="shared" si="7"/>
        <v>5</v>
      </c>
      <c r="C17" s="101">
        <f>1/B17</f>
        <v>0.2</v>
      </c>
      <c r="D17" s="117"/>
      <c r="E17" s="102">
        <f>+R51</f>
        <v>93000</v>
      </c>
      <c r="F17" s="102">
        <f t="shared" ref="F17:N17" si="10">+S51</f>
        <v>222000</v>
      </c>
      <c r="G17" s="102">
        <f t="shared" si="10"/>
        <v>379000</v>
      </c>
      <c r="H17" s="102">
        <f t="shared" si="10"/>
        <v>536000</v>
      </c>
      <c r="I17" s="102">
        <f t="shared" si="10"/>
        <v>737000</v>
      </c>
      <c r="J17" s="102">
        <f t="shared" si="10"/>
        <v>845000</v>
      </c>
      <c r="K17" s="102">
        <f t="shared" si="10"/>
        <v>945000</v>
      </c>
      <c r="L17" s="102">
        <f t="shared" si="10"/>
        <v>1077000</v>
      </c>
      <c r="M17" s="102">
        <f t="shared" si="10"/>
        <v>1209000</v>
      </c>
      <c r="N17" s="103">
        <f t="shared" si="10"/>
        <v>1297000</v>
      </c>
      <c r="O17" s="107"/>
      <c r="P17" s="89">
        <f>+AA2</f>
        <v>0</v>
      </c>
      <c r="Q17" s="93">
        <f t="shared" si="6"/>
        <v>2025</v>
      </c>
      <c r="R17" s="89"/>
      <c r="S17" s="89"/>
      <c r="T17" s="89"/>
      <c r="U17" s="89"/>
      <c r="V17" s="89"/>
      <c r="W17" s="89"/>
      <c r="X17" s="89"/>
      <c r="Y17" s="89"/>
      <c r="Z17" s="89">
        <f>+P17</f>
        <v>0</v>
      </c>
      <c r="AA17" s="89">
        <f t="shared" si="5"/>
        <v>0</v>
      </c>
      <c r="AB17" s="107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</row>
    <row r="18" spans="1:40" s="2" customFormat="1" ht="16.5" customHeight="1" thickBot="1" x14ac:dyDescent="0.4">
      <c r="A18" s="104"/>
      <c r="B18" s="105"/>
      <c r="C18" s="105"/>
      <c r="D18" s="118"/>
      <c r="E18" s="119"/>
      <c r="F18" s="119"/>
      <c r="G18" s="119"/>
      <c r="H18" s="119"/>
      <c r="I18" s="119"/>
      <c r="J18" s="118"/>
      <c r="K18" s="118"/>
      <c r="L18" s="118"/>
      <c r="M18" s="118"/>
      <c r="N18" s="118"/>
      <c r="O18" s="107"/>
      <c r="P18" s="89">
        <f>+AB2</f>
        <v>0</v>
      </c>
      <c r="Q18" s="93">
        <f t="shared" si="6"/>
        <v>2026</v>
      </c>
      <c r="R18" s="69"/>
      <c r="S18" s="89"/>
      <c r="T18" s="89"/>
      <c r="U18" s="89"/>
      <c r="V18" s="89"/>
      <c r="W18" s="89"/>
      <c r="X18" s="89"/>
      <c r="Y18" s="89"/>
      <c r="Z18" s="89"/>
      <c r="AA18" s="89">
        <f>+P18</f>
        <v>0</v>
      </c>
      <c r="AB18" s="107"/>
      <c r="AC18" s="28"/>
      <c r="AD18" s="28"/>
      <c r="AE18" s="28"/>
      <c r="AF18" s="28"/>
      <c r="AG18" s="28"/>
      <c r="AH18" s="28"/>
      <c r="AI18" s="28"/>
      <c r="AJ18" s="28"/>
      <c r="AK18" s="28"/>
      <c r="AL18" s="28"/>
      <c r="AM18" s="28"/>
      <c r="AN18" s="28"/>
    </row>
    <row r="19" spans="1:40" s="2" customFormat="1" ht="16.5" customHeight="1" thickBot="1" x14ac:dyDescent="0.35">
      <c r="A19" s="1920" t="s">
        <v>145</v>
      </c>
      <c r="B19" s="1931"/>
      <c r="C19" s="1931"/>
      <c r="D19" s="1931"/>
      <c r="E19" s="1931"/>
      <c r="F19" s="120"/>
      <c r="G19" s="120"/>
      <c r="H19" s="120"/>
      <c r="I19" s="120"/>
      <c r="J19" s="121"/>
      <c r="K19" s="121"/>
      <c r="L19" s="121"/>
      <c r="M19" s="121"/>
      <c r="N19" s="121"/>
      <c r="O19" s="107"/>
      <c r="P19" s="1942" t="s">
        <v>8</v>
      </c>
      <c r="Q19" s="1942"/>
      <c r="R19" s="89">
        <f>SUM(R9:R18)</f>
        <v>0</v>
      </c>
      <c r="S19" s="89">
        <f t="shared" ref="S19:AA19" si="11">SUM(S9:S18)</f>
        <v>175000</v>
      </c>
      <c r="T19" s="89">
        <f t="shared" si="11"/>
        <v>350000</v>
      </c>
      <c r="U19" s="89">
        <f t="shared" si="11"/>
        <v>525000</v>
      </c>
      <c r="V19" s="89">
        <f t="shared" si="11"/>
        <v>700000</v>
      </c>
      <c r="W19" s="89">
        <f t="shared" si="11"/>
        <v>875000</v>
      </c>
      <c r="X19" s="89">
        <f t="shared" si="11"/>
        <v>1050000</v>
      </c>
      <c r="Y19" s="89">
        <f t="shared" si="11"/>
        <v>1225000</v>
      </c>
      <c r="Z19" s="89">
        <f t="shared" si="11"/>
        <v>1400000</v>
      </c>
      <c r="AA19" s="89">
        <f t="shared" si="11"/>
        <v>1575000</v>
      </c>
      <c r="AB19" s="107"/>
      <c r="AC19" s="28"/>
      <c r="AD19" s="28"/>
      <c r="AE19" s="28"/>
      <c r="AF19" s="28"/>
      <c r="AG19" s="28"/>
      <c r="AH19" s="28"/>
      <c r="AI19" s="28"/>
      <c r="AJ19" s="28"/>
      <c r="AK19" s="28"/>
      <c r="AL19" s="28"/>
      <c r="AM19" s="28"/>
      <c r="AN19" s="28"/>
    </row>
    <row r="20" spans="1:40" s="2" customFormat="1" ht="16.5" customHeight="1" x14ac:dyDescent="0.3">
      <c r="A20" s="108" t="str">
        <f>+'8 Programa de Inversiónes'!B50</f>
        <v>Gastos de estudios</v>
      </c>
      <c r="B20" s="122">
        <v>10</v>
      </c>
      <c r="C20" s="110">
        <f>1/B20</f>
        <v>0.1</v>
      </c>
      <c r="D20" s="112">
        <f>+'8 Programa de Inversiónes'!C50</f>
        <v>150000</v>
      </c>
      <c r="E20" s="113">
        <f>+'8 Programa de Inversiónes'!D50</f>
        <v>0</v>
      </c>
      <c r="F20" s="120"/>
      <c r="G20" s="120"/>
      <c r="H20" s="120"/>
      <c r="I20" s="120"/>
      <c r="J20" s="121"/>
      <c r="K20" s="121"/>
      <c r="L20" s="121"/>
      <c r="M20" s="121"/>
      <c r="N20" s="121"/>
      <c r="O20" s="107"/>
      <c r="P20" s="107"/>
      <c r="Q20" s="107"/>
      <c r="R20" s="107"/>
      <c r="S20" s="107"/>
      <c r="T20" s="107"/>
      <c r="U20" s="107"/>
      <c r="V20" s="107"/>
      <c r="W20" s="107"/>
      <c r="X20" s="107"/>
      <c r="Y20" s="107"/>
      <c r="Z20" s="107"/>
      <c r="AA20" s="107"/>
      <c r="AB20" s="107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</row>
    <row r="21" spans="1:40" s="2" customFormat="1" ht="16.5" customHeight="1" x14ac:dyDescent="0.3">
      <c r="A21" s="94"/>
      <c r="B21" s="95">
        <v>10</v>
      </c>
      <c r="C21" s="96">
        <f>1/B21</f>
        <v>0.1</v>
      </c>
      <c r="D21" s="97"/>
      <c r="E21" s="98"/>
      <c r="F21" s="120"/>
      <c r="G21" s="120"/>
      <c r="H21" s="120"/>
      <c r="I21" s="120"/>
      <c r="J21" s="121"/>
      <c r="K21" s="121"/>
      <c r="L21" s="121"/>
      <c r="M21" s="121"/>
      <c r="N21" s="121"/>
      <c r="O21" s="107"/>
      <c r="P21" s="107"/>
      <c r="Q21" s="107"/>
      <c r="R21" s="107"/>
      <c r="S21" s="107"/>
      <c r="T21" s="107"/>
      <c r="U21" s="107"/>
      <c r="V21" s="107"/>
      <c r="W21" s="107"/>
      <c r="X21" s="107"/>
      <c r="Y21" s="107"/>
      <c r="Z21" s="107"/>
      <c r="AA21" s="107"/>
      <c r="AB21" s="107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</row>
    <row r="22" spans="1:40" s="2" customFormat="1" ht="16.5" customHeight="1" thickBot="1" x14ac:dyDescent="0.35">
      <c r="A22" s="99" t="str">
        <f>+'8 Programa de Inversiónes'!B51</f>
        <v>Gastos de instalación</v>
      </c>
      <c r="B22" s="100">
        <v>5</v>
      </c>
      <c r="C22" s="101">
        <f>1/B22</f>
        <v>0.2</v>
      </c>
      <c r="D22" s="102">
        <f>+'8 Programa de Inversiónes'!C51</f>
        <v>0</v>
      </c>
      <c r="E22" s="103">
        <f>+'8 Programa de Inversiónes'!D51</f>
        <v>50000</v>
      </c>
      <c r="F22" s="120"/>
      <c r="G22" s="120"/>
      <c r="H22" s="120"/>
      <c r="I22" s="120"/>
      <c r="J22" s="121"/>
      <c r="K22" s="121"/>
      <c r="L22" s="121"/>
      <c r="M22" s="121"/>
      <c r="N22" s="121"/>
      <c r="O22" s="107"/>
      <c r="P22" s="89"/>
      <c r="Q22" s="89"/>
      <c r="R22" s="107"/>
      <c r="S22" s="28"/>
      <c r="T22" s="89"/>
      <c r="U22" s="89"/>
      <c r="V22" s="89"/>
      <c r="W22" s="89"/>
      <c r="X22" s="89"/>
      <c r="Y22" s="89"/>
      <c r="Z22" s="89"/>
      <c r="AA22" s="89"/>
      <c r="AB22" s="107"/>
      <c r="AC22" s="28"/>
      <c r="AD22" s="28"/>
      <c r="AE22" s="28"/>
      <c r="AF22" s="28"/>
      <c r="AG22" s="28"/>
      <c r="AH22" s="28"/>
      <c r="AI22" s="28"/>
      <c r="AJ22" s="28"/>
      <c r="AK22" s="28"/>
      <c r="AL22" s="28"/>
      <c r="AM22" s="28"/>
      <c r="AN22" s="28"/>
    </row>
    <row r="23" spans="1:40" s="2" customFormat="1" ht="16.5" customHeight="1" thickBot="1" x14ac:dyDescent="0.35">
      <c r="A23" s="123"/>
      <c r="B23" s="124">
        <v>5</v>
      </c>
      <c r="C23" s="125">
        <f>1/B23</f>
        <v>0.2</v>
      </c>
      <c r="D23" s="126"/>
      <c r="E23" s="127"/>
      <c r="F23" s="120"/>
      <c r="G23" s="120"/>
      <c r="H23" s="120"/>
      <c r="I23" s="120"/>
      <c r="J23" s="121"/>
      <c r="K23" s="121"/>
      <c r="L23" s="121"/>
      <c r="M23" s="121"/>
      <c r="N23" s="128"/>
      <c r="O23" s="107"/>
      <c r="P23" s="89"/>
      <c r="Q23" s="89"/>
      <c r="R23" s="1941" t="s">
        <v>147</v>
      </c>
      <c r="S23" s="1941"/>
      <c r="T23" s="1941"/>
      <c r="U23" s="1941"/>
      <c r="V23" s="1941"/>
      <c r="W23" s="1941"/>
      <c r="X23" s="1941"/>
      <c r="Y23" s="1941"/>
      <c r="Z23" s="1941"/>
      <c r="AA23" s="1941"/>
      <c r="AB23" s="107"/>
      <c r="AC23" s="28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/>
    </row>
    <row r="24" spans="1:40" s="2" customFormat="1" ht="16.5" customHeight="1" thickBot="1" x14ac:dyDescent="0.4">
      <c r="A24" s="121"/>
      <c r="B24" s="121"/>
      <c r="C24" s="121"/>
      <c r="D24" s="121"/>
      <c r="E24" s="121"/>
      <c r="F24" s="120"/>
      <c r="G24" s="120"/>
      <c r="H24" s="120"/>
      <c r="I24" s="120"/>
      <c r="J24" s="121"/>
      <c r="K24" s="121"/>
      <c r="L24" s="121"/>
      <c r="M24" s="121"/>
      <c r="N24" s="121"/>
      <c r="O24" s="107"/>
      <c r="P24" s="89"/>
      <c r="Q24" s="89">
        <f>+B11</f>
        <v>5</v>
      </c>
      <c r="R24" s="90">
        <f>+Q25</f>
        <v>2017</v>
      </c>
      <c r="S24" s="90">
        <f>+Q25+1</f>
        <v>2018</v>
      </c>
      <c r="T24" s="91">
        <f t="shared" ref="T24:AA24" si="12">+S24+1</f>
        <v>2019</v>
      </c>
      <c r="U24" s="91">
        <f t="shared" si="12"/>
        <v>2020</v>
      </c>
      <c r="V24" s="91">
        <f t="shared" si="12"/>
        <v>2021</v>
      </c>
      <c r="W24" s="91">
        <f t="shared" si="12"/>
        <v>2022</v>
      </c>
      <c r="X24" s="91">
        <f t="shared" si="12"/>
        <v>2023</v>
      </c>
      <c r="Y24" s="91">
        <f t="shared" si="12"/>
        <v>2024</v>
      </c>
      <c r="Z24" s="91">
        <f t="shared" si="12"/>
        <v>2025</v>
      </c>
      <c r="AA24" s="92">
        <f t="shared" si="12"/>
        <v>2026</v>
      </c>
      <c r="AB24" s="107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  <c r="AN24" s="28"/>
    </row>
    <row r="25" spans="1:40" s="2" customFormat="1" ht="16.5" customHeight="1" thickBot="1" x14ac:dyDescent="0.4">
      <c r="A25" s="1920" t="s">
        <v>150</v>
      </c>
      <c r="B25" s="1931"/>
      <c r="C25" s="1931"/>
      <c r="D25" s="1931"/>
      <c r="E25" s="1931"/>
      <c r="F25" s="1931"/>
      <c r="G25" s="1931"/>
      <c r="H25" s="1931"/>
      <c r="I25" s="1931"/>
      <c r="J25" s="1931"/>
      <c r="K25" s="1931"/>
      <c r="L25" s="1931"/>
      <c r="M25" s="1931"/>
      <c r="N25" s="1931"/>
      <c r="O25" s="107"/>
      <c r="P25" s="89">
        <f>+R3+S3</f>
        <v>33000</v>
      </c>
      <c r="Q25" s="93">
        <f>+Q9</f>
        <v>2017</v>
      </c>
      <c r="R25" s="89">
        <f>+P25</f>
        <v>33000</v>
      </c>
      <c r="S25" s="89">
        <f t="shared" ref="S25:U26" si="13">IF($Q$24&gt;=(S$24-$Q25+1),$P25*(S$24-$Q25+1),R25)</f>
        <v>66000</v>
      </c>
      <c r="T25" s="89">
        <f t="shared" si="13"/>
        <v>99000</v>
      </c>
      <c r="U25" s="89">
        <f t="shared" si="13"/>
        <v>132000</v>
      </c>
      <c r="V25" s="89">
        <f t="shared" ref="V25:AA25" si="14">IF($Q$24&gt;=(V$24-$Q25+1),$P25*(V$24-$Q25+1),U25)</f>
        <v>165000</v>
      </c>
      <c r="W25" s="89">
        <f t="shared" si="14"/>
        <v>165000</v>
      </c>
      <c r="X25" s="89">
        <f t="shared" si="14"/>
        <v>165000</v>
      </c>
      <c r="Y25" s="89">
        <f t="shared" si="14"/>
        <v>165000</v>
      </c>
      <c r="Z25" s="89">
        <f t="shared" si="14"/>
        <v>165000</v>
      </c>
      <c r="AA25" s="89">
        <f t="shared" si="14"/>
        <v>165000</v>
      </c>
      <c r="AB25" s="107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</row>
    <row r="26" spans="1:40" s="2" customFormat="1" ht="16.5" customHeight="1" thickBot="1" x14ac:dyDescent="0.4">
      <c r="A26" s="108" t="str">
        <f t="shared" ref="A26:B29" si="15">+A20</f>
        <v>Gastos de estudios</v>
      </c>
      <c r="B26" s="129">
        <f t="shared" si="15"/>
        <v>10</v>
      </c>
      <c r="C26" s="130">
        <f>1/B26</f>
        <v>0.1</v>
      </c>
      <c r="D26" s="131"/>
      <c r="E26" s="131">
        <f t="shared" ref="E26:N26" si="16">+R56</f>
        <v>15000</v>
      </c>
      <c r="F26" s="131">
        <f t="shared" si="16"/>
        <v>30000</v>
      </c>
      <c r="G26" s="131">
        <f t="shared" si="16"/>
        <v>45000</v>
      </c>
      <c r="H26" s="131">
        <f t="shared" si="16"/>
        <v>60000</v>
      </c>
      <c r="I26" s="131">
        <f t="shared" si="16"/>
        <v>75000</v>
      </c>
      <c r="J26" s="131">
        <f t="shared" si="16"/>
        <v>90000</v>
      </c>
      <c r="K26" s="131">
        <f t="shared" si="16"/>
        <v>105000</v>
      </c>
      <c r="L26" s="131">
        <f t="shared" si="16"/>
        <v>120000</v>
      </c>
      <c r="M26" s="131">
        <f t="shared" si="16"/>
        <v>135000</v>
      </c>
      <c r="N26" s="132">
        <f t="shared" si="16"/>
        <v>150000</v>
      </c>
      <c r="O26" s="107"/>
      <c r="P26" s="89">
        <f>+T3</f>
        <v>0</v>
      </c>
      <c r="Q26" s="93">
        <f t="shared" ref="Q26:Q34" si="17">+Q25+1</f>
        <v>2018</v>
      </c>
      <c r="R26" s="89"/>
      <c r="S26" s="89">
        <f>+P26</f>
        <v>0</v>
      </c>
      <c r="T26" s="89">
        <f t="shared" si="13"/>
        <v>0</v>
      </c>
      <c r="U26" s="89">
        <f t="shared" ref="U26:AA26" si="18">IF($Q$24&gt;=(U$24-$Q26+1),$P26*(U$24-$Q26+1),T26)</f>
        <v>0</v>
      </c>
      <c r="V26" s="89">
        <f t="shared" si="18"/>
        <v>0</v>
      </c>
      <c r="W26" s="89">
        <f t="shared" si="18"/>
        <v>0</v>
      </c>
      <c r="X26" s="89">
        <f t="shared" si="18"/>
        <v>0</v>
      </c>
      <c r="Y26" s="89">
        <f t="shared" si="18"/>
        <v>0</v>
      </c>
      <c r="Z26" s="89">
        <f t="shared" si="18"/>
        <v>0</v>
      </c>
      <c r="AA26" s="89">
        <f t="shared" si="18"/>
        <v>0</v>
      </c>
      <c r="AB26" s="107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</row>
    <row r="27" spans="1:40" s="2" customFormat="1" ht="16.5" customHeight="1" thickBot="1" x14ac:dyDescent="0.4">
      <c r="A27" s="94">
        <f t="shared" si="15"/>
        <v>0</v>
      </c>
      <c r="B27" s="114">
        <f t="shared" si="15"/>
        <v>10</v>
      </c>
      <c r="C27" s="96">
        <f>1/B27</f>
        <v>0.1</v>
      </c>
      <c r="D27" s="97"/>
      <c r="E27" s="97">
        <f>+R57</f>
        <v>0</v>
      </c>
      <c r="F27" s="97">
        <f t="shared" ref="F27:N29" si="19">+S57</f>
        <v>0</v>
      </c>
      <c r="G27" s="97">
        <f t="shared" si="19"/>
        <v>0</v>
      </c>
      <c r="H27" s="97">
        <f t="shared" si="19"/>
        <v>0</v>
      </c>
      <c r="I27" s="97">
        <f t="shared" si="19"/>
        <v>0</v>
      </c>
      <c r="J27" s="97">
        <f t="shared" si="19"/>
        <v>0</v>
      </c>
      <c r="K27" s="97">
        <f t="shared" si="19"/>
        <v>0</v>
      </c>
      <c r="L27" s="97">
        <f t="shared" si="19"/>
        <v>0</v>
      </c>
      <c r="M27" s="97">
        <f t="shared" si="19"/>
        <v>0</v>
      </c>
      <c r="N27" s="98">
        <f t="shared" si="19"/>
        <v>0</v>
      </c>
      <c r="O27" s="107"/>
      <c r="P27" s="89">
        <f>+U3</f>
        <v>10000</v>
      </c>
      <c r="Q27" s="93">
        <f t="shared" si="17"/>
        <v>2019</v>
      </c>
      <c r="R27" s="89"/>
      <c r="S27" s="89"/>
      <c r="T27" s="89">
        <f>+P27</f>
        <v>10000</v>
      </c>
      <c r="U27" s="89">
        <f t="shared" ref="U27:AA27" si="20">IF($Q$24&gt;=(U$24-$Q27+1),$P27*(U$24-$Q27+1),T27)</f>
        <v>20000</v>
      </c>
      <c r="V27" s="89">
        <f t="shared" si="20"/>
        <v>30000</v>
      </c>
      <c r="W27" s="89">
        <f t="shared" si="20"/>
        <v>40000</v>
      </c>
      <c r="X27" s="89">
        <f t="shared" si="20"/>
        <v>50000</v>
      </c>
      <c r="Y27" s="89">
        <f t="shared" si="20"/>
        <v>50000</v>
      </c>
      <c r="Z27" s="89">
        <f t="shared" si="20"/>
        <v>50000</v>
      </c>
      <c r="AA27" s="89">
        <f t="shared" si="20"/>
        <v>50000</v>
      </c>
      <c r="AB27" s="107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8"/>
    </row>
    <row r="28" spans="1:40" s="2" customFormat="1" ht="16.5" customHeight="1" thickBot="1" x14ac:dyDescent="0.4">
      <c r="A28" s="94" t="str">
        <f t="shared" si="15"/>
        <v>Gastos de instalación</v>
      </c>
      <c r="B28" s="114">
        <f t="shared" si="15"/>
        <v>5</v>
      </c>
      <c r="C28" s="96">
        <f>1/B28</f>
        <v>0.2</v>
      </c>
      <c r="D28" s="97"/>
      <c r="E28" s="97">
        <f>+R58</f>
        <v>10000</v>
      </c>
      <c r="F28" s="97">
        <f t="shared" ref="F28:N28" si="21">+S58</f>
        <v>20000</v>
      </c>
      <c r="G28" s="97">
        <f t="shared" si="21"/>
        <v>30000</v>
      </c>
      <c r="H28" s="97">
        <f t="shared" si="21"/>
        <v>40000</v>
      </c>
      <c r="I28" s="97">
        <f t="shared" si="21"/>
        <v>50000</v>
      </c>
      <c r="J28" s="97">
        <f t="shared" si="21"/>
        <v>50000</v>
      </c>
      <c r="K28" s="97">
        <f t="shared" si="21"/>
        <v>50000</v>
      </c>
      <c r="L28" s="97">
        <f t="shared" si="21"/>
        <v>50000</v>
      </c>
      <c r="M28" s="97">
        <f t="shared" si="21"/>
        <v>50000</v>
      </c>
      <c r="N28" s="98">
        <f t="shared" si="21"/>
        <v>50000</v>
      </c>
      <c r="O28" s="107"/>
      <c r="P28" s="89">
        <f>+V3</f>
        <v>0</v>
      </c>
      <c r="Q28" s="93">
        <f>+Q27+1</f>
        <v>2020</v>
      </c>
      <c r="R28" s="89"/>
      <c r="S28" s="89"/>
      <c r="T28" s="89"/>
      <c r="U28" s="89">
        <f>+P28</f>
        <v>0</v>
      </c>
      <c r="V28" s="89">
        <f t="shared" ref="V28:AA28" si="22">IF($Q$24&gt;=(V$24-$Q28+1),$P28*(V$24-$Q28+1),U28)</f>
        <v>0</v>
      </c>
      <c r="W28" s="89">
        <f t="shared" si="22"/>
        <v>0</v>
      </c>
      <c r="X28" s="89">
        <f t="shared" si="22"/>
        <v>0</v>
      </c>
      <c r="Y28" s="89">
        <f t="shared" si="22"/>
        <v>0</v>
      </c>
      <c r="Z28" s="89">
        <f t="shared" si="22"/>
        <v>0</v>
      </c>
      <c r="AA28" s="89">
        <f t="shared" si="22"/>
        <v>0</v>
      </c>
      <c r="AB28" s="107"/>
      <c r="AC28" s="28"/>
      <c r="AD28" s="28"/>
      <c r="AE28" s="28"/>
      <c r="AF28" s="28"/>
      <c r="AG28" s="28"/>
      <c r="AH28" s="28"/>
      <c r="AI28" s="28"/>
      <c r="AJ28" s="28"/>
      <c r="AK28" s="28"/>
      <c r="AL28" s="28"/>
      <c r="AM28" s="28"/>
      <c r="AN28" s="28"/>
    </row>
    <row r="29" spans="1:40" s="2" customFormat="1" ht="16.5" customHeight="1" thickBot="1" x14ac:dyDescent="0.4">
      <c r="A29" s="99">
        <f t="shared" si="15"/>
        <v>0</v>
      </c>
      <c r="B29" s="116">
        <f t="shared" si="15"/>
        <v>5</v>
      </c>
      <c r="C29" s="101">
        <f>1/B29</f>
        <v>0.2</v>
      </c>
      <c r="D29" s="102"/>
      <c r="E29" s="102">
        <f>+R59</f>
        <v>0</v>
      </c>
      <c r="F29" s="102">
        <f t="shared" si="19"/>
        <v>0</v>
      </c>
      <c r="G29" s="102">
        <f t="shared" si="19"/>
        <v>0</v>
      </c>
      <c r="H29" s="102">
        <f t="shared" si="19"/>
        <v>0</v>
      </c>
      <c r="I29" s="102">
        <f t="shared" si="19"/>
        <v>0</v>
      </c>
      <c r="J29" s="102">
        <f t="shared" si="19"/>
        <v>0</v>
      </c>
      <c r="K29" s="102">
        <f t="shared" si="19"/>
        <v>0</v>
      </c>
      <c r="L29" s="102">
        <f t="shared" si="19"/>
        <v>0</v>
      </c>
      <c r="M29" s="102">
        <f t="shared" si="19"/>
        <v>0</v>
      </c>
      <c r="N29" s="103">
        <f t="shared" si="19"/>
        <v>0</v>
      </c>
      <c r="O29" s="107"/>
      <c r="P29" s="89">
        <f>+W3</f>
        <v>0</v>
      </c>
      <c r="Q29" s="93">
        <f t="shared" si="17"/>
        <v>2021</v>
      </c>
      <c r="R29" s="89"/>
      <c r="S29" s="89"/>
      <c r="T29" s="89"/>
      <c r="U29" s="89"/>
      <c r="V29" s="89">
        <f>+P29</f>
        <v>0</v>
      </c>
      <c r="W29" s="89">
        <f>IF($Q$24&gt;=(W$24-$Q29+1),$P29*(W$24-$Q29+1),V29)</f>
        <v>0</v>
      </c>
      <c r="X29" s="89">
        <f>IF($Q$24&gt;=(X$24-$Q29+1),$P29*(X$24-$Q29+1),W29)</f>
        <v>0</v>
      </c>
      <c r="Y29" s="89">
        <f>IF($Q$24&gt;=(Y$24-$Q29+1),$P29*(Y$24-$Q29+1),X29)</f>
        <v>0</v>
      </c>
      <c r="Z29" s="89">
        <f>IF($Q$24&gt;=(Z$24-$Q29+1),$P29*(Z$24-$Q29+1),Y29)</f>
        <v>0</v>
      </c>
      <c r="AA29" s="89">
        <f>IF($Q$24&gt;=(AA$24-$Q29+1),$P29*(AA$24-$Q29+1),Z29)</f>
        <v>0</v>
      </c>
      <c r="AB29" s="107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</row>
    <row r="30" spans="1:40" s="2" customFormat="1" ht="16.5" customHeight="1" thickBot="1" x14ac:dyDescent="0.4">
      <c r="A30" s="105"/>
      <c r="B30" s="105"/>
      <c r="C30" s="105"/>
      <c r="D30" s="105"/>
      <c r="E30" s="105"/>
      <c r="F30" s="105"/>
      <c r="G30" s="105"/>
      <c r="H30" s="105"/>
      <c r="I30" s="105"/>
      <c r="J30" s="105"/>
      <c r="K30" s="105"/>
      <c r="L30" s="105"/>
      <c r="M30" s="105"/>
      <c r="N30" s="105"/>
      <c r="O30" s="107"/>
      <c r="P30" s="89">
        <f>+X3</f>
        <v>10000</v>
      </c>
      <c r="Q30" s="93">
        <f>+Q29+1</f>
        <v>2022</v>
      </c>
      <c r="R30" s="89"/>
      <c r="S30" s="89"/>
      <c r="T30" s="89"/>
      <c r="U30" s="89"/>
      <c r="V30" s="89"/>
      <c r="W30" s="89">
        <f>+P30</f>
        <v>10000</v>
      </c>
      <c r="X30" s="89">
        <f>IF($Q$24&gt;=(X$24-$Q30+1),$P30*(X$24-$Q30+1),W30)</f>
        <v>20000</v>
      </c>
      <c r="Y30" s="89">
        <f>IF($Q$24&gt;=(Y$24-$Q30+1),$P30*(Y$24-$Q30+1),X30)</f>
        <v>30000</v>
      </c>
      <c r="Z30" s="89">
        <f>IF($Q$24&gt;=(Z$24-$Q30+1),$P30*(Z$24-$Q30+1),Y30)</f>
        <v>40000</v>
      </c>
      <c r="AA30" s="89">
        <f>IF($Q$24&gt;=(AA$24-$Q30+1),$P30*(AA$24-$Q30+1),Z30)</f>
        <v>50000</v>
      </c>
      <c r="AB30" s="107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8"/>
      <c r="AN30" s="28"/>
    </row>
    <row r="31" spans="1:40" ht="16.5" customHeight="1" thickBot="1" x14ac:dyDescent="0.4">
      <c r="A31" s="133"/>
      <c r="B31" s="133"/>
      <c r="C31" s="133"/>
      <c r="D31" s="134"/>
      <c r="E31" s="134"/>
      <c r="F31" s="133"/>
      <c r="G31" s="133"/>
      <c r="H31" s="133"/>
      <c r="I31" s="133"/>
      <c r="J31" s="133"/>
      <c r="K31" s="133"/>
      <c r="L31" s="133"/>
      <c r="M31" s="133"/>
      <c r="N31" s="133"/>
      <c r="O31" s="89"/>
      <c r="P31" s="89">
        <f>+Y3</f>
        <v>0</v>
      </c>
      <c r="Q31" s="93">
        <f t="shared" si="17"/>
        <v>2023</v>
      </c>
      <c r="R31" s="89"/>
      <c r="S31" s="89"/>
      <c r="T31" s="89"/>
      <c r="U31" s="89"/>
      <c r="V31" s="89"/>
      <c r="W31" s="89"/>
      <c r="X31" s="89">
        <f>+P31</f>
        <v>0</v>
      </c>
      <c r="Y31" s="89">
        <f>IF($Q$24&gt;=(Y$24-$Q31+1),$P31*(Y$24-$Q31+1),X31)</f>
        <v>0</v>
      </c>
      <c r="Z31" s="89">
        <f>IF($Q$24&gt;=(Z$24-$Q31+1),$P31*(Z$24-$Q31+1),Y31)</f>
        <v>0</v>
      </c>
      <c r="AA31" s="89">
        <f>IF($Q$24&gt;=(AA$24-$Q31+1),$P31*(AA$24-$Q31+1),Z31)</f>
        <v>0</v>
      </c>
      <c r="AB31" s="89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8"/>
      <c r="AN31" s="28"/>
    </row>
    <row r="32" spans="1:40" ht="16.5" customHeight="1" thickBot="1" x14ac:dyDescent="0.4">
      <c r="A32" s="1685" t="s">
        <v>251</v>
      </c>
      <c r="B32" s="1686"/>
      <c r="C32" s="1686"/>
      <c r="D32" s="1687"/>
      <c r="E32" s="135">
        <f>+E37</f>
        <v>126000</v>
      </c>
      <c r="F32" s="136">
        <f>+F37-E37</f>
        <v>337000</v>
      </c>
      <c r="G32" s="136">
        <f>+G37-F37</f>
        <v>375000</v>
      </c>
      <c r="H32" s="136">
        <f t="shared" ref="H32:N32" si="23">+H37-G37</f>
        <v>375000</v>
      </c>
      <c r="I32" s="136">
        <f t="shared" si="23"/>
        <v>419000</v>
      </c>
      <c r="J32" s="136">
        <f t="shared" si="23"/>
        <v>303000</v>
      </c>
      <c r="K32" s="136">
        <f t="shared" si="23"/>
        <v>295000</v>
      </c>
      <c r="L32" s="136">
        <f t="shared" si="23"/>
        <v>320000</v>
      </c>
      <c r="M32" s="136">
        <f t="shared" si="23"/>
        <v>320000</v>
      </c>
      <c r="N32" s="137">
        <f t="shared" si="23"/>
        <v>286000</v>
      </c>
      <c r="O32" s="89"/>
      <c r="P32" s="89">
        <f>+Z3</f>
        <v>3000</v>
      </c>
      <c r="Q32" s="93">
        <f t="shared" si="17"/>
        <v>2024</v>
      </c>
      <c r="R32" s="89"/>
      <c r="S32" s="89"/>
      <c r="T32" s="89"/>
      <c r="U32" s="89"/>
      <c r="V32" s="89"/>
      <c r="W32" s="89"/>
      <c r="X32" s="89"/>
      <c r="Y32" s="89">
        <f>+P32</f>
        <v>3000</v>
      </c>
      <c r="Z32" s="89">
        <f>IF($Q$24&gt;=(Z$24-$Q32+1),$P32*(Z$24-$Q32+1),Y32)</f>
        <v>6000</v>
      </c>
      <c r="AA32" s="89">
        <f>IF($Q$24&gt;=(AA$24-$Q32+1),$P32*(AA$24-$Q32+1),Z32)</f>
        <v>9000</v>
      </c>
      <c r="AB32" s="89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</row>
    <row r="33" spans="1:40" ht="16.5" customHeight="1" thickBot="1" x14ac:dyDescent="0.4">
      <c r="A33" s="1934" t="s">
        <v>252</v>
      </c>
      <c r="B33" s="1935"/>
      <c r="C33" s="1935"/>
      <c r="D33" s="1936"/>
      <c r="E33" s="114">
        <f>+AE56+AE57+AE58+AE59</f>
        <v>25000</v>
      </c>
      <c r="F33" s="112">
        <f>+F38-E38</f>
        <v>25000</v>
      </c>
      <c r="G33" s="112">
        <f t="shared" ref="G33:N33" si="24">+G38-F38</f>
        <v>25000</v>
      </c>
      <c r="H33" s="112">
        <f t="shared" si="24"/>
        <v>25000</v>
      </c>
      <c r="I33" s="112">
        <f t="shared" si="24"/>
        <v>25000</v>
      </c>
      <c r="J33" s="112">
        <f t="shared" si="24"/>
        <v>15000</v>
      </c>
      <c r="K33" s="112">
        <f t="shared" si="24"/>
        <v>15000</v>
      </c>
      <c r="L33" s="112">
        <f t="shared" si="24"/>
        <v>15000</v>
      </c>
      <c r="M33" s="112">
        <f t="shared" si="24"/>
        <v>15000</v>
      </c>
      <c r="N33" s="113">
        <f t="shared" si="24"/>
        <v>15000</v>
      </c>
      <c r="O33" s="89"/>
      <c r="P33" s="89">
        <f>+AA3</f>
        <v>0</v>
      </c>
      <c r="Q33" s="93">
        <f t="shared" si="17"/>
        <v>2025</v>
      </c>
      <c r="R33" s="89"/>
      <c r="S33" s="89"/>
      <c r="T33" s="89"/>
      <c r="U33" s="89"/>
      <c r="V33" s="89"/>
      <c r="W33" s="89"/>
      <c r="X33" s="89"/>
      <c r="Y33" s="89"/>
      <c r="Z33" s="89">
        <f>+P33</f>
        <v>0</v>
      </c>
      <c r="AA33" s="89">
        <f>IF($Q$24&gt;=(AA$24-$Q33+1),$P33*(AA$24-$Q33+1),Z33)</f>
        <v>0</v>
      </c>
      <c r="AB33" s="89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</row>
    <row r="34" spans="1:40" ht="16.5" customHeight="1" thickBot="1" x14ac:dyDescent="0.4">
      <c r="A34" s="1959" t="s">
        <v>253</v>
      </c>
      <c r="B34" s="1960"/>
      <c r="C34" s="1960"/>
      <c r="D34" s="1961"/>
      <c r="E34" s="138">
        <f>+E33+E32</f>
        <v>151000</v>
      </c>
      <c r="F34" s="139">
        <f t="shared" ref="F34:N34" si="25">+F33+F32</f>
        <v>362000</v>
      </c>
      <c r="G34" s="139">
        <f t="shared" si="25"/>
        <v>400000</v>
      </c>
      <c r="H34" s="139">
        <f t="shared" si="25"/>
        <v>400000</v>
      </c>
      <c r="I34" s="139">
        <f t="shared" si="25"/>
        <v>444000</v>
      </c>
      <c r="J34" s="139">
        <f t="shared" si="25"/>
        <v>318000</v>
      </c>
      <c r="K34" s="139">
        <f t="shared" si="25"/>
        <v>310000</v>
      </c>
      <c r="L34" s="139">
        <f t="shared" si="25"/>
        <v>335000</v>
      </c>
      <c r="M34" s="139">
        <f t="shared" si="25"/>
        <v>335000</v>
      </c>
      <c r="N34" s="140">
        <f t="shared" si="25"/>
        <v>301000</v>
      </c>
      <c r="O34" s="89"/>
      <c r="P34" s="89">
        <f>+AB3</f>
        <v>10000</v>
      </c>
      <c r="Q34" s="93">
        <f t="shared" si="17"/>
        <v>2026</v>
      </c>
      <c r="R34" s="69"/>
      <c r="S34" s="89"/>
      <c r="T34" s="89"/>
      <c r="U34" s="89"/>
      <c r="V34" s="89"/>
      <c r="W34" s="89"/>
      <c r="X34" s="89"/>
      <c r="Y34" s="89"/>
      <c r="Z34" s="89"/>
      <c r="AA34" s="89">
        <f>+P34</f>
        <v>10000</v>
      </c>
      <c r="AB34" s="89"/>
      <c r="AC34" s="28"/>
      <c r="AD34" s="28"/>
      <c r="AE34" s="28"/>
      <c r="AF34" s="28"/>
      <c r="AG34" s="28"/>
      <c r="AH34" s="28"/>
      <c r="AI34" s="28"/>
      <c r="AJ34" s="28"/>
      <c r="AK34" s="28"/>
      <c r="AL34" s="28"/>
      <c r="AM34" s="28"/>
      <c r="AN34" s="28"/>
    </row>
    <row r="35" spans="1:40" ht="16.5" customHeight="1" x14ac:dyDescent="0.3">
      <c r="A35" s="88"/>
      <c r="B35" s="88"/>
      <c r="C35" s="88"/>
      <c r="D35" s="88"/>
      <c r="E35" s="88"/>
      <c r="F35" s="88"/>
      <c r="G35" s="88"/>
      <c r="H35" s="88"/>
      <c r="I35" s="88"/>
      <c r="J35" s="88"/>
      <c r="K35" s="88"/>
      <c r="L35" s="88"/>
      <c r="M35" s="88"/>
      <c r="N35" s="88"/>
      <c r="O35" s="89"/>
      <c r="P35" s="1942" t="s">
        <v>28</v>
      </c>
      <c r="Q35" s="1942"/>
      <c r="R35" s="89">
        <f t="shared" ref="R35:AA35" si="26">SUM(R25:R34)</f>
        <v>33000</v>
      </c>
      <c r="S35" s="89">
        <f t="shared" si="26"/>
        <v>66000</v>
      </c>
      <c r="T35" s="89">
        <f t="shared" si="26"/>
        <v>109000</v>
      </c>
      <c r="U35" s="89">
        <f t="shared" si="26"/>
        <v>152000</v>
      </c>
      <c r="V35" s="89">
        <f t="shared" si="26"/>
        <v>195000</v>
      </c>
      <c r="W35" s="89">
        <f t="shared" si="26"/>
        <v>215000</v>
      </c>
      <c r="X35" s="89">
        <f t="shared" si="26"/>
        <v>235000</v>
      </c>
      <c r="Y35" s="89">
        <f t="shared" si="26"/>
        <v>248000</v>
      </c>
      <c r="Z35" s="89">
        <f t="shared" si="26"/>
        <v>261000</v>
      </c>
      <c r="AA35" s="89">
        <f t="shared" si="26"/>
        <v>284000</v>
      </c>
      <c r="AB35" s="89"/>
      <c r="AC35" s="28"/>
      <c r="AD35" s="28"/>
      <c r="AE35" s="28"/>
      <c r="AF35" s="28"/>
      <c r="AG35" s="28"/>
      <c r="AH35" s="28"/>
      <c r="AI35" s="28"/>
      <c r="AJ35" s="28"/>
      <c r="AK35" s="28"/>
      <c r="AL35" s="28"/>
      <c r="AM35" s="28"/>
      <c r="AN35" s="28"/>
    </row>
    <row r="36" spans="1:40" ht="16.5" customHeight="1" thickBot="1" x14ac:dyDescent="0.35">
      <c r="A36" s="133"/>
      <c r="B36" s="133"/>
      <c r="C36" s="133"/>
      <c r="D36" s="133"/>
      <c r="E36" s="133"/>
      <c r="F36" s="133"/>
      <c r="G36" s="133"/>
      <c r="H36" s="133"/>
      <c r="I36" s="133"/>
      <c r="J36" s="133"/>
      <c r="K36" s="133"/>
      <c r="L36" s="133"/>
      <c r="M36" s="133"/>
      <c r="N36" s="133"/>
      <c r="O36" s="89"/>
      <c r="P36" s="89"/>
      <c r="Q36" s="89"/>
      <c r="R36" s="89"/>
      <c r="S36" s="89"/>
      <c r="T36" s="89"/>
      <c r="U36" s="89"/>
      <c r="V36" s="89"/>
      <c r="W36" s="89"/>
      <c r="X36" s="89"/>
      <c r="Y36" s="89"/>
      <c r="Z36" s="89"/>
      <c r="AA36" s="89"/>
      <c r="AB36" s="89"/>
      <c r="AC36" s="28"/>
      <c r="AD36" s="28"/>
      <c r="AE36" s="28"/>
      <c r="AF36" s="28"/>
      <c r="AG36" s="28"/>
      <c r="AH36" s="28"/>
      <c r="AI36" s="28"/>
      <c r="AJ36" s="28"/>
      <c r="AK36" s="28"/>
      <c r="AL36" s="28"/>
      <c r="AM36" s="28"/>
      <c r="AN36" s="28"/>
    </row>
    <row r="37" spans="1:40" s="2" customFormat="1" ht="16.5" customHeight="1" x14ac:dyDescent="0.3">
      <c r="A37" s="1677" t="s">
        <v>255</v>
      </c>
      <c r="B37" s="1678"/>
      <c r="C37" s="1678"/>
      <c r="D37" s="1679"/>
      <c r="E37" s="141">
        <f t="shared" ref="E37:N37" si="27">+E15+E16+E17</f>
        <v>126000</v>
      </c>
      <c r="F37" s="142">
        <f t="shared" si="27"/>
        <v>463000</v>
      </c>
      <c r="G37" s="142">
        <f t="shared" si="27"/>
        <v>838000</v>
      </c>
      <c r="H37" s="142">
        <f t="shared" si="27"/>
        <v>1213000</v>
      </c>
      <c r="I37" s="142">
        <f t="shared" si="27"/>
        <v>1632000</v>
      </c>
      <c r="J37" s="142">
        <f t="shared" si="27"/>
        <v>1935000</v>
      </c>
      <c r="K37" s="142">
        <f t="shared" si="27"/>
        <v>2230000</v>
      </c>
      <c r="L37" s="142">
        <f t="shared" si="27"/>
        <v>2550000</v>
      </c>
      <c r="M37" s="142">
        <f t="shared" si="27"/>
        <v>2870000</v>
      </c>
      <c r="N37" s="143">
        <f t="shared" si="27"/>
        <v>3156000</v>
      </c>
      <c r="O37" s="107"/>
      <c r="P37" s="107"/>
      <c r="Q37" s="107"/>
      <c r="R37" s="107"/>
      <c r="S37" s="107"/>
      <c r="T37" s="107"/>
      <c r="U37" s="107"/>
      <c r="V37" s="107"/>
      <c r="W37" s="107"/>
      <c r="X37" s="107"/>
      <c r="Y37" s="107"/>
      <c r="Z37" s="107"/>
      <c r="AA37" s="107"/>
      <c r="AB37" s="107"/>
      <c r="AC37" s="28"/>
      <c r="AD37" s="28"/>
      <c r="AE37" s="28"/>
      <c r="AF37" s="28"/>
      <c r="AG37" s="28"/>
      <c r="AH37" s="28"/>
      <c r="AI37" s="28"/>
      <c r="AJ37" s="28"/>
      <c r="AK37" s="28"/>
      <c r="AL37" s="28"/>
      <c r="AM37" s="28"/>
      <c r="AN37" s="28"/>
    </row>
    <row r="38" spans="1:40" ht="16.5" customHeight="1" x14ac:dyDescent="0.3">
      <c r="A38" s="1953" t="s">
        <v>254</v>
      </c>
      <c r="B38" s="1954"/>
      <c r="C38" s="1954"/>
      <c r="D38" s="1955"/>
      <c r="E38" s="144">
        <f t="shared" ref="E38:N38" si="28">+E26+E27+E28+E29</f>
        <v>25000</v>
      </c>
      <c r="F38" s="145">
        <f t="shared" si="28"/>
        <v>50000</v>
      </c>
      <c r="G38" s="145">
        <f t="shared" si="28"/>
        <v>75000</v>
      </c>
      <c r="H38" s="145">
        <f t="shared" si="28"/>
        <v>100000</v>
      </c>
      <c r="I38" s="145">
        <f t="shared" si="28"/>
        <v>125000</v>
      </c>
      <c r="J38" s="145">
        <f t="shared" si="28"/>
        <v>140000</v>
      </c>
      <c r="K38" s="145">
        <f t="shared" si="28"/>
        <v>155000</v>
      </c>
      <c r="L38" s="145">
        <f t="shared" si="28"/>
        <v>170000</v>
      </c>
      <c r="M38" s="145">
        <f t="shared" si="28"/>
        <v>185000</v>
      </c>
      <c r="N38" s="146">
        <f t="shared" si="28"/>
        <v>200000</v>
      </c>
      <c r="O38" s="89"/>
      <c r="P38" s="89"/>
      <c r="Q38" s="89"/>
      <c r="R38" s="89"/>
      <c r="S38" s="28"/>
      <c r="T38" s="89"/>
      <c r="U38" s="89"/>
      <c r="V38" s="89"/>
      <c r="W38" s="89"/>
      <c r="X38" s="89"/>
      <c r="Y38" s="89"/>
      <c r="Z38" s="89"/>
      <c r="AA38" s="89"/>
      <c r="AB38" s="89"/>
      <c r="AC38" s="28"/>
      <c r="AD38" s="28"/>
      <c r="AE38" s="28"/>
      <c r="AF38" s="28"/>
      <c r="AG38" s="28"/>
      <c r="AH38" s="28"/>
      <c r="AI38" s="28"/>
      <c r="AJ38" s="28"/>
      <c r="AK38" s="28"/>
      <c r="AL38" s="28"/>
      <c r="AM38" s="28"/>
      <c r="AN38" s="28"/>
    </row>
    <row r="39" spans="1:40" ht="16.5" customHeight="1" thickBot="1" x14ac:dyDescent="0.35">
      <c r="A39" s="1956" t="s">
        <v>256</v>
      </c>
      <c r="B39" s="1957"/>
      <c r="C39" s="1957"/>
      <c r="D39" s="1958"/>
      <c r="E39" s="116">
        <f>+E37+E38</f>
        <v>151000</v>
      </c>
      <c r="F39" s="102">
        <f t="shared" ref="F39:N39" si="29">+F37+F38</f>
        <v>513000</v>
      </c>
      <c r="G39" s="102">
        <f t="shared" si="29"/>
        <v>913000</v>
      </c>
      <c r="H39" s="102">
        <f t="shared" si="29"/>
        <v>1313000</v>
      </c>
      <c r="I39" s="102">
        <f t="shared" si="29"/>
        <v>1757000</v>
      </c>
      <c r="J39" s="102">
        <f t="shared" si="29"/>
        <v>2075000</v>
      </c>
      <c r="K39" s="102">
        <f t="shared" si="29"/>
        <v>2385000</v>
      </c>
      <c r="L39" s="102">
        <f t="shared" si="29"/>
        <v>2720000</v>
      </c>
      <c r="M39" s="102">
        <f t="shared" si="29"/>
        <v>3055000</v>
      </c>
      <c r="N39" s="103">
        <f t="shared" si="29"/>
        <v>3356000</v>
      </c>
      <c r="O39" s="89"/>
      <c r="P39" s="89"/>
      <c r="Q39" s="89"/>
      <c r="R39" s="1941" t="s">
        <v>147</v>
      </c>
      <c r="S39" s="1941"/>
      <c r="T39" s="1941"/>
      <c r="U39" s="1941"/>
      <c r="V39" s="1941"/>
      <c r="W39" s="1941"/>
      <c r="X39" s="1941"/>
      <c r="Y39" s="1941"/>
      <c r="Z39" s="1941"/>
      <c r="AA39" s="1941"/>
      <c r="AB39" s="89"/>
      <c r="AC39" s="28"/>
      <c r="AD39" s="28"/>
      <c r="AE39" s="28"/>
      <c r="AF39" s="28"/>
      <c r="AG39" s="28"/>
      <c r="AH39" s="28"/>
      <c r="AI39" s="28"/>
      <c r="AJ39" s="28"/>
      <c r="AK39" s="28"/>
      <c r="AL39" s="28"/>
      <c r="AM39" s="28"/>
      <c r="AN39" s="28"/>
    </row>
    <row r="40" spans="1:40" ht="16.5" customHeight="1" thickBot="1" x14ac:dyDescent="0.4">
      <c r="A40" s="147"/>
      <c r="B40" s="147"/>
      <c r="C40" s="147"/>
      <c r="D40" s="147"/>
      <c r="E40" s="147"/>
      <c r="F40" s="147"/>
      <c r="G40" s="147"/>
      <c r="H40" s="147"/>
      <c r="I40" s="147"/>
      <c r="J40" s="147"/>
      <c r="K40" s="147"/>
      <c r="L40" s="147"/>
      <c r="M40" s="147"/>
      <c r="N40" s="147"/>
      <c r="O40" s="89"/>
      <c r="P40" s="89"/>
      <c r="Q40" s="89">
        <f>+B12</f>
        <v>5</v>
      </c>
      <c r="R40" s="90">
        <f>+Q41</f>
        <v>2017</v>
      </c>
      <c r="S40" s="90">
        <f>+Q41+1</f>
        <v>2018</v>
      </c>
      <c r="T40" s="91">
        <f t="shared" ref="T40:AA40" si="30">+S40+1</f>
        <v>2019</v>
      </c>
      <c r="U40" s="91">
        <f t="shared" si="30"/>
        <v>2020</v>
      </c>
      <c r="V40" s="91">
        <f t="shared" si="30"/>
        <v>2021</v>
      </c>
      <c r="W40" s="91">
        <f t="shared" si="30"/>
        <v>2022</v>
      </c>
      <c r="X40" s="91">
        <f t="shared" si="30"/>
        <v>2023</v>
      </c>
      <c r="Y40" s="91">
        <f t="shared" si="30"/>
        <v>2024</v>
      </c>
      <c r="Z40" s="91">
        <f t="shared" si="30"/>
        <v>2025</v>
      </c>
      <c r="AA40" s="92">
        <f t="shared" si="30"/>
        <v>2026</v>
      </c>
      <c r="AB40" s="89"/>
      <c r="AC40" s="28"/>
      <c r="AD40" s="28"/>
      <c r="AE40" s="28"/>
      <c r="AF40" s="28"/>
      <c r="AG40" s="28"/>
      <c r="AH40" s="28"/>
      <c r="AI40" s="28"/>
      <c r="AJ40" s="28"/>
      <c r="AK40" s="28"/>
      <c r="AL40" s="28"/>
      <c r="AM40" s="28"/>
      <c r="AN40" s="28"/>
    </row>
    <row r="41" spans="1:40" ht="16.5" customHeight="1" thickBot="1" x14ac:dyDescent="0.4">
      <c r="A41" s="1920" t="s">
        <v>249</v>
      </c>
      <c r="B41" s="1920"/>
      <c r="C41" s="1920"/>
      <c r="D41" s="1920"/>
      <c r="E41" s="1920"/>
      <c r="F41" s="1920"/>
      <c r="G41" s="1920"/>
      <c r="H41" s="1920"/>
      <c r="I41" s="1920"/>
      <c r="J41" s="1920"/>
      <c r="K41" s="1920"/>
      <c r="L41" s="1920"/>
      <c r="M41" s="1920"/>
      <c r="N41" s="1920"/>
      <c r="O41" s="89"/>
      <c r="P41" s="148">
        <f>+R4+S4</f>
        <v>93000</v>
      </c>
      <c r="Q41" s="93">
        <f>+Q25</f>
        <v>2017</v>
      </c>
      <c r="R41" s="89">
        <f>+P41</f>
        <v>93000</v>
      </c>
      <c r="S41" s="89">
        <f>IF($Q$40&gt;=(S$40-$Q41+1),$P41*(S$40-$Q41+1),R41)</f>
        <v>186000</v>
      </c>
      <c r="T41" s="89">
        <f t="shared" ref="T41:AA42" si="31">IF($Q$40&gt;=(T$40-$Q41+1),$P41*(T$40-$Q41+1),S41)</f>
        <v>279000</v>
      </c>
      <c r="U41" s="89">
        <f t="shared" si="31"/>
        <v>372000</v>
      </c>
      <c r="V41" s="89">
        <f t="shared" si="31"/>
        <v>465000</v>
      </c>
      <c r="W41" s="89">
        <f t="shared" si="31"/>
        <v>465000</v>
      </c>
      <c r="X41" s="89">
        <f t="shared" si="31"/>
        <v>465000</v>
      </c>
      <c r="Y41" s="89">
        <f t="shared" si="31"/>
        <v>465000</v>
      </c>
      <c r="Z41" s="89">
        <f t="shared" si="31"/>
        <v>465000</v>
      </c>
      <c r="AA41" s="89">
        <f t="shared" si="31"/>
        <v>465000</v>
      </c>
      <c r="AB41" s="89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</row>
    <row r="42" spans="1:40" ht="16.5" customHeight="1" thickBot="1" x14ac:dyDescent="0.4">
      <c r="A42" s="1921" t="s">
        <v>145</v>
      </c>
      <c r="B42" s="1922"/>
      <c r="C42" s="1922"/>
      <c r="D42" s="1922"/>
      <c r="E42" s="1922"/>
      <c r="F42" s="1922"/>
      <c r="G42" s="1922"/>
      <c r="H42" s="1922"/>
      <c r="I42" s="1922"/>
      <c r="J42" s="1922"/>
      <c r="K42" s="1922"/>
      <c r="L42" s="1922"/>
      <c r="M42" s="1922"/>
      <c r="N42" s="1923"/>
      <c r="O42" s="89"/>
      <c r="P42" s="148">
        <f>+T4</f>
        <v>36000</v>
      </c>
      <c r="Q42" s="93">
        <f t="shared" ref="Q42:Q50" si="32">+Q41+1</f>
        <v>2018</v>
      </c>
      <c r="R42" s="89"/>
      <c r="S42" s="89">
        <f>+P42</f>
        <v>36000</v>
      </c>
      <c r="T42" s="89">
        <f t="shared" si="31"/>
        <v>72000</v>
      </c>
      <c r="U42" s="89">
        <f t="shared" ref="U42:AA42" si="33">IF($Q$40&gt;=(U$40-$Q42+1),$P42*(U$40-$Q42+1),T42)</f>
        <v>108000</v>
      </c>
      <c r="V42" s="89">
        <f t="shared" si="33"/>
        <v>144000</v>
      </c>
      <c r="W42" s="89">
        <f t="shared" si="33"/>
        <v>180000</v>
      </c>
      <c r="X42" s="89">
        <f t="shared" si="33"/>
        <v>180000</v>
      </c>
      <c r="Y42" s="89">
        <f t="shared" si="33"/>
        <v>180000</v>
      </c>
      <c r="Z42" s="89">
        <f t="shared" si="33"/>
        <v>180000</v>
      </c>
      <c r="AA42" s="89">
        <f t="shared" si="33"/>
        <v>180000</v>
      </c>
      <c r="AB42" s="89"/>
      <c r="AC42" s="28"/>
      <c r="AD42" s="28"/>
      <c r="AE42" s="28"/>
      <c r="AF42" s="28"/>
      <c r="AG42" s="28"/>
      <c r="AH42" s="28"/>
      <c r="AI42" s="28"/>
      <c r="AJ42" s="28"/>
      <c r="AK42" s="28"/>
      <c r="AL42" s="28"/>
      <c r="AM42" s="28"/>
      <c r="AN42" s="28"/>
    </row>
    <row r="43" spans="1:40" ht="16.5" customHeight="1" thickBot="1" x14ac:dyDescent="0.4">
      <c r="A43" s="149" t="str">
        <f>+'8 Programa de Inversiónes'!A35</f>
        <v>Total mobiliario y equipo de oficina</v>
      </c>
      <c r="B43" s="150">
        <v>5</v>
      </c>
      <c r="C43" s="96">
        <f>1/B43</f>
        <v>0.2</v>
      </c>
      <c r="D43" s="97">
        <f>+'8 Programa de Inversiónes'!C35</f>
        <v>14000</v>
      </c>
      <c r="E43" s="97">
        <f>+'8 Programa de Inversiónes'!D35</f>
        <v>390000</v>
      </c>
      <c r="F43" s="97">
        <f>+'8 Programa de Inversiónes'!E35</f>
        <v>30000</v>
      </c>
      <c r="G43" s="97">
        <f>+'8 Programa de Inversiónes'!F35</f>
        <v>14000</v>
      </c>
      <c r="H43" s="97">
        <f>+'8 Programa de Inversiónes'!G35</f>
        <v>370000</v>
      </c>
      <c r="I43" s="97">
        <f>+'8 Programa de Inversiónes'!H35</f>
        <v>195000</v>
      </c>
      <c r="J43" s="97">
        <f>+'8 Programa de Inversiónes'!I35</f>
        <v>44000</v>
      </c>
      <c r="K43" s="97">
        <f>+'8 Programa de Inversiónes'!J35</f>
        <v>340000</v>
      </c>
      <c r="L43" s="97">
        <f>+'8 Programa de Inversiónes'!K35</f>
        <v>30000</v>
      </c>
      <c r="M43" s="97">
        <f>+'8 Programa de Inversiónes'!L35</f>
        <v>14000</v>
      </c>
      <c r="N43" s="98">
        <f>+'8 Programa de Inversiónes'!M35</f>
        <v>535000</v>
      </c>
      <c r="O43" s="89"/>
      <c r="P43" s="148">
        <f>+U4</f>
        <v>28000</v>
      </c>
      <c r="Q43" s="93">
        <f t="shared" si="32"/>
        <v>2019</v>
      </c>
      <c r="R43" s="89"/>
      <c r="S43" s="89"/>
      <c r="T43" s="89">
        <f>+P43</f>
        <v>28000</v>
      </c>
      <c r="U43" s="89">
        <f t="shared" ref="U43:AA43" si="34">IF($Q$40&gt;=(U$40-$Q43+1),$P43*(U$40-$Q43+1),T43)</f>
        <v>56000</v>
      </c>
      <c r="V43" s="89">
        <f t="shared" si="34"/>
        <v>84000</v>
      </c>
      <c r="W43" s="89">
        <f t="shared" si="34"/>
        <v>112000</v>
      </c>
      <c r="X43" s="89">
        <f t="shared" si="34"/>
        <v>140000</v>
      </c>
      <c r="Y43" s="89">
        <f t="shared" si="34"/>
        <v>140000</v>
      </c>
      <c r="Z43" s="89">
        <f t="shared" si="34"/>
        <v>140000</v>
      </c>
      <c r="AA43" s="89">
        <f t="shared" si="34"/>
        <v>140000</v>
      </c>
      <c r="AB43" s="89"/>
      <c r="AC43" s="28"/>
      <c r="AD43" s="28"/>
      <c r="AE43" s="28"/>
      <c r="AF43" s="28"/>
      <c r="AG43" s="28"/>
      <c r="AH43" s="28"/>
      <c r="AI43" s="28"/>
      <c r="AJ43" s="28"/>
      <c r="AK43" s="28"/>
      <c r="AL43" s="28"/>
      <c r="AM43" s="28"/>
      <c r="AN43" s="28"/>
    </row>
    <row r="44" spans="1:40" ht="16.5" customHeight="1" thickBot="1" x14ac:dyDescent="0.4">
      <c r="A44" s="151"/>
      <c r="B44" s="152"/>
      <c r="C44" s="152"/>
      <c r="D44" s="152"/>
      <c r="E44" s="152"/>
      <c r="F44" s="152"/>
      <c r="G44" s="152"/>
      <c r="H44" s="152"/>
      <c r="I44" s="152"/>
      <c r="J44" s="152"/>
      <c r="K44" s="152"/>
      <c r="L44" s="152"/>
      <c r="M44" s="152"/>
      <c r="N44" s="153"/>
      <c r="O44" s="89"/>
      <c r="P44" s="148">
        <f>+V4</f>
        <v>0</v>
      </c>
      <c r="Q44" s="93">
        <f t="shared" si="32"/>
        <v>2020</v>
      </c>
      <c r="R44" s="89"/>
      <c r="S44" s="89"/>
      <c r="T44" s="89"/>
      <c r="U44" s="89">
        <f>+P44</f>
        <v>0</v>
      </c>
      <c r="V44" s="89">
        <f t="shared" ref="V44:AA44" si="35">IF($Q$40&gt;=(V$40-$Q44+1),$P44*(V$40-$Q44+1),U44)</f>
        <v>0</v>
      </c>
      <c r="W44" s="89">
        <f t="shared" si="35"/>
        <v>0</v>
      </c>
      <c r="X44" s="89">
        <f t="shared" si="35"/>
        <v>0</v>
      </c>
      <c r="Y44" s="89">
        <f t="shared" si="35"/>
        <v>0</v>
      </c>
      <c r="Z44" s="89">
        <f t="shared" si="35"/>
        <v>0</v>
      </c>
      <c r="AA44" s="89">
        <f t="shared" si="35"/>
        <v>0</v>
      </c>
      <c r="AB44" s="89"/>
      <c r="AC44" s="28"/>
      <c r="AD44" s="28"/>
      <c r="AE44" s="28"/>
      <c r="AF44" s="28"/>
      <c r="AG44" s="28"/>
      <c r="AH44" s="28"/>
      <c r="AI44" s="28"/>
      <c r="AJ44" s="28"/>
      <c r="AK44" s="28"/>
      <c r="AL44" s="28"/>
      <c r="AM44" s="28"/>
      <c r="AN44" s="28"/>
    </row>
    <row r="45" spans="1:40" ht="16.5" customHeight="1" thickBot="1" x14ac:dyDescent="0.4">
      <c r="A45" s="1938" t="s">
        <v>250</v>
      </c>
      <c r="B45" s="1939"/>
      <c r="C45" s="1939"/>
      <c r="D45" s="1939"/>
      <c r="E45" s="1939"/>
      <c r="F45" s="1939"/>
      <c r="G45" s="1939"/>
      <c r="H45" s="1939"/>
      <c r="I45" s="1939"/>
      <c r="J45" s="1939"/>
      <c r="K45" s="1939"/>
      <c r="L45" s="1939"/>
      <c r="M45" s="1939"/>
      <c r="N45" s="1940"/>
      <c r="O45" s="89"/>
      <c r="P45" s="148">
        <f>+W4</f>
        <v>44000</v>
      </c>
      <c r="Q45" s="93">
        <f t="shared" si="32"/>
        <v>2021</v>
      </c>
      <c r="R45" s="89"/>
      <c r="S45" s="89"/>
      <c r="T45" s="89"/>
      <c r="U45" s="89"/>
      <c r="V45" s="89">
        <f>+P45</f>
        <v>44000</v>
      </c>
      <c r="W45" s="89">
        <f>IF($Q$40&gt;=(W$40-$Q45+1),$P45*(W$40-$Q45+1),V45)</f>
        <v>88000</v>
      </c>
      <c r="X45" s="89">
        <f>IF($Q$40&gt;=(X$40-$Q45+1),$P45*(X$40-$Q45+1),W45)</f>
        <v>132000</v>
      </c>
      <c r="Y45" s="89">
        <f>IF($Q$40&gt;=(Y$40-$Q45+1),$P45*(Y$40-$Q45+1),X45)</f>
        <v>176000</v>
      </c>
      <c r="Z45" s="89">
        <f>IF($Q$40&gt;=(Z$40-$Q45+1),$P45*(Z$40-$Q45+1),Y45)</f>
        <v>220000</v>
      </c>
      <c r="AA45" s="89">
        <f>IF($Q$40&gt;=(AA$40-$Q45+1),$P45*(AA$40-$Q45+1),Z45)</f>
        <v>220000</v>
      </c>
      <c r="AB45" s="89"/>
      <c r="AC45" s="28"/>
      <c r="AD45" s="28"/>
      <c r="AE45" s="28"/>
      <c r="AF45" s="28"/>
      <c r="AG45" s="28"/>
      <c r="AH45" s="28"/>
      <c r="AI45" s="28"/>
      <c r="AJ45" s="28"/>
      <c r="AK45" s="28"/>
      <c r="AL45" s="28"/>
      <c r="AM45" s="28"/>
      <c r="AN45" s="28"/>
    </row>
    <row r="46" spans="1:40" ht="16.5" customHeight="1" thickBot="1" x14ac:dyDescent="0.4">
      <c r="A46" s="154" t="str">
        <f>+A43</f>
        <v>Total mobiliario y equipo de oficina</v>
      </c>
      <c r="B46" s="102">
        <f>+B43</f>
        <v>5</v>
      </c>
      <c r="C46" s="101">
        <f>+C43</f>
        <v>0.2</v>
      </c>
      <c r="D46" s="117"/>
      <c r="E46" s="102">
        <f t="shared" ref="E46:N46" si="36">+R76</f>
        <v>80800</v>
      </c>
      <c r="F46" s="102">
        <f t="shared" si="36"/>
        <v>167600</v>
      </c>
      <c r="G46" s="102">
        <f t="shared" si="36"/>
        <v>257200</v>
      </c>
      <c r="H46" s="102">
        <f t="shared" si="36"/>
        <v>420800</v>
      </c>
      <c r="I46" s="102">
        <f t="shared" si="36"/>
        <v>623400</v>
      </c>
      <c r="J46" s="102">
        <f t="shared" si="36"/>
        <v>754000</v>
      </c>
      <c r="K46" s="102">
        <f t="shared" si="36"/>
        <v>946600</v>
      </c>
      <c r="L46" s="102">
        <f t="shared" si="36"/>
        <v>1142400</v>
      </c>
      <c r="M46" s="102">
        <f t="shared" si="36"/>
        <v>1267000</v>
      </c>
      <c r="N46" s="103">
        <f t="shared" si="36"/>
        <v>1459600</v>
      </c>
      <c r="O46" s="89"/>
      <c r="P46" s="148">
        <f>+X4</f>
        <v>0</v>
      </c>
      <c r="Q46" s="93">
        <f t="shared" si="32"/>
        <v>2022</v>
      </c>
      <c r="R46" s="89"/>
      <c r="S46" s="89"/>
      <c r="T46" s="89"/>
      <c r="U46" s="89"/>
      <c r="V46" s="89"/>
      <c r="W46" s="89">
        <f>+P46</f>
        <v>0</v>
      </c>
      <c r="X46" s="89">
        <f>IF($Q$40&gt;=(X$40-$Q46+1),$P46*(X$40-$Q46+1),W46)</f>
        <v>0</v>
      </c>
      <c r="Y46" s="89">
        <f>IF($Q$40&gt;=(Y$40-$Q46+1),$P46*(Y$40-$Q46+1),X46)</f>
        <v>0</v>
      </c>
      <c r="Z46" s="89">
        <f>IF($Q$40&gt;=(Z$40-$Q46+1),$P46*(Z$40-$Q46+1),Y46)</f>
        <v>0</v>
      </c>
      <c r="AA46" s="89">
        <f>IF($Q$40&gt;=(AA$40-$Q46+1),$P46*(AA$40-$Q46+1),Z46)</f>
        <v>0</v>
      </c>
      <c r="AB46" s="89"/>
      <c r="AC46" s="28"/>
      <c r="AD46" s="28"/>
      <c r="AE46" s="28"/>
      <c r="AF46" s="28"/>
      <c r="AG46" s="28"/>
      <c r="AH46" s="28"/>
      <c r="AI46" s="28"/>
      <c r="AJ46" s="28"/>
      <c r="AK46" s="28"/>
      <c r="AL46" s="28"/>
      <c r="AM46" s="28"/>
      <c r="AN46" s="28"/>
    </row>
    <row r="47" spans="1:40" s="2" customFormat="1" ht="16.5" customHeight="1" thickBot="1" x14ac:dyDescent="0.4">
      <c r="A47" s="155"/>
      <c r="B47" s="155"/>
      <c r="C47" s="155"/>
      <c r="D47" s="155"/>
      <c r="E47" s="155"/>
      <c r="F47" s="156"/>
      <c r="G47" s="156"/>
      <c r="H47" s="156"/>
      <c r="I47" s="156"/>
      <c r="J47" s="118"/>
      <c r="K47" s="118"/>
      <c r="L47" s="118"/>
      <c r="M47" s="118"/>
      <c r="N47" s="118"/>
      <c r="O47" s="107"/>
      <c r="P47" s="148">
        <f>+Y4</f>
        <v>28000</v>
      </c>
      <c r="Q47" s="93">
        <f t="shared" si="32"/>
        <v>2023</v>
      </c>
      <c r="R47" s="89"/>
      <c r="S47" s="89"/>
      <c r="T47" s="89"/>
      <c r="U47" s="89"/>
      <c r="V47" s="89"/>
      <c r="W47" s="89"/>
      <c r="X47" s="89">
        <f>+P47</f>
        <v>28000</v>
      </c>
      <c r="Y47" s="89">
        <f>IF($Q$40&gt;=(Y$40-$Q47+1),$P47*(Y$40-$Q47+1),X47)</f>
        <v>56000</v>
      </c>
      <c r="Z47" s="89">
        <f>IF($Q$40&gt;=(Z$40-$Q47+1),$P47*(Z$40-$Q47+1),Y47)</f>
        <v>84000</v>
      </c>
      <c r="AA47" s="89">
        <f>IF($Q$40&gt;=(AA$40-$Q47+1),$P47*(AA$40-$Q47+1),Z47)</f>
        <v>112000</v>
      </c>
      <c r="AB47" s="107"/>
      <c r="AC47" s="28"/>
      <c r="AD47" s="28"/>
      <c r="AE47" s="28"/>
      <c r="AF47" s="28"/>
      <c r="AG47" s="28"/>
      <c r="AH47" s="28"/>
      <c r="AI47" s="28"/>
      <c r="AJ47" s="28"/>
      <c r="AK47" s="28"/>
      <c r="AL47" s="28"/>
      <c r="AM47" s="28"/>
      <c r="AN47" s="28"/>
    </row>
    <row r="48" spans="1:40" s="2" customFormat="1" ht="16.5" customHeight="1" thickBot="1" x14ac:dyDescent="0.4">
      <c r="A48" s="1937" t="s">
        <v>145</v>
      </c>
      <c r="B48" s="1937"/>
      <c r="C48" s="1937"/>
      <c r="D48" s="1937"/>
      <c r="E48" s="1937"/>
      <c r="F48" s="157"/>
      <c r="G48" s="157"/>
      <c r="H48" s="157"/>
      <c r="I48" s="157"/>
      <c r="J48" s="157"/>
      <c r="K48" s="157"/>
      <c r="L48" s="157"/>
      <c r="M48" s="157"/>
      <c r="N48" s="157"/>
      <c r="O48" s="107"/>
      <c r="P48" s="148">
        <f>+Z4</f>
        <v>60000</v>
      </c>
      <c r="Q48" s="93">
        <f t="shared" si="32"/>
        <v>2024</v>
      </c>
      <c r="R48" s="89"/>
      <c r="S48" s="89"/>
      <c r="T48" s="89"/>
      <c r="U48" s="89"/>
      <c r="V48" s="89"/>
      <c r="W48" s="89"/>
      <c r="X48" s="89"/>
      <c r="Y48" s="89">
        <f>+P48</f>
        <v>60000</v>
      </c>
      <c r="Z48" s="89">
        <f>IF($Q$40&gt;=(Z$40-$Q48+1),$P48*(Z$40-$Q48+1),Y48)</f>
        <v>120000</v>
      </c>
      <c r="AA48" s="89">
        <f>IF($Q$40&gt;=(AA$40-$Q48+1),$P48*(AA$40-$Q48+1),Z48)</f>
        <v>180000</v>
      </c>
      <c r="AB48" s="107"/>
      <c r="AC48" s="28"/>
      <c r="AD48" s="28"/>
      <c r="AE48" s="28"/>
      <c r="AF48" s="28"/>
      <c r="AG48" s="28"/>
      <c r="AH48" s="28"/>
      <c r="AI48" s="28"/>
      <c r="AJ48" s="28"/>
      <c r="AK48" s="28"/>
      <c r="AL48" s="28"/>
      <c r="AM48" s="28"/>
      <c r="AN48" s="28"/>
    </row>
    <row r="49" spans="1:40" ht="16.5" customHeight="1" thickBot="1" x14ac:dyDescent="0.4">
      <c r="A49" s="114" t="s">
        <v>4</v>
      </c>
      <c r="B49" s="150">
        <v>10</v>
      </c>
      <c r="C49" s="97">
        <f>1/B49</f>
        <v>0.1</v>
      </c>
      <c r="D49" s="145">
        <f>'8 Programa de Inversiónes'!C52</f>
        <v>0</v>
      </c>
      <c r="E49" s="145">
        <f>'8 Programa de Inversiónes'!D52</f>
        <v>25000</v>
      </c>
      <c r="F49" s="157"/>
      <c r="G49" s="157"/>
      <c r="H49" s="157"/>
      <c r="I49" s="157"/>
      <c r="J49" s="157"/>
      <c r="K49" s="157"/>
      <c r="L49" s="157"/>
      <c r="M49" s="157"/>
      <c r="N49" s="157"/>
      <c r="O49" s="89"/>
      <c r="P49" s="148">
        <f>+AA4</f>
        <v>0</v>
      </c>
      <c r="Q49" s="93">
        <f t="shared" si="32"/>
        <v>2025</v>
      </c>
      <c r="R49" s="89"/>
      <c r="S49" s="89"/>
      <c r="T49" s="89"/>
      <c r="U49" s="89"/>
      <c r="V49" s="89"/>
      <c r="W49" s="89"/>
      <c r="X49" s="89"/>
      <c r="Y49" s="89"/>
      <c r="Z49" s="89">
        <f>+P49</f>
        <v>0</v>
      </c>
      <c r="AA49" s="89">
        <f>IF($Q$40&gt;=(AA$40-$Q49+1),$P49*(AA$40-$Q49+1),Z49)</f>
        <v>0</v>
      </c>
      <c r="AB49" s="89"/>
      <c r="AC49" s="28"/>
      <c r="AD49" s="28"/>
      <c r="AE49" s="28"/>
      <c r="AF49" s="28"/>
      <c r="AG49" s="28"/>
      <c r="AH49" s="28"/>
      <c r="AI49" s="28"/>
      <c r="AJ49" s="28"/>
      <c r="AK49" s="28"/>
      <c r="AL49" s="28"/>
      <c r="AM49" s="28"/>
      <c r="AN49" s="28"/>
    </row>
    <row r="50" spans="1:40" ht="16.5" customHeight="1" thickBot="1" x14ac:dyDescent="0.4">
      <c r="A50" s="158"/>
      <c r="B50" s="158"/>
      <c r="C50" s="158"/>
      <c r="D50" s="158"/>
      <c r="E50" s="158"/>
      <c r="F50" s="158"/>
      <c r="G50" s="158"/>
      <c r="H50" s="158"/>
      <c r="I50" s="158"/>
      <c r="J50" s="159"/>
      <c r="K50" s="159"/>
      <c r="L50" s="159"/>
      <c r="M50" s="159"/>
      <c r="N50" s="159"/>
      <c r="O50" s="89"/>
      <c r="P50" s="148">
        <f>+AB4</f>
        <v>0</v>
      </c>
      <c r="Q50" s="93">
        <f t="shared" si="32"/>
        <v>2026</v>
      </c>
      <c r="R50" s="69"/>
      <c r="S50" s="89"/>
      <c r="T50" s="89"/>
      <c r="U50" s="89"/>
      <c r="V50" s="89"/>
      <c r="W50" s="89"/>
      <c r="X50" s="89"/>
      <c r="Y50" s="89"/>
      <c r="Z50" s="89"/>
      <c r="AA50" s="89">
        <f>+P50</f>
        <v>0</v>
      </c>
      <c r="AB50" s="89"/>
      <c r="AC50" s="28"/>
      <c r="AD50" s="28"/>
      <c r="AE50" s="28"/>
      <c r="AF50" s="28"/>
      <c r="AG50" s="28"/>
      <c r="AH50" s="28"/>
      <c r="AI50" s="28"/>
      <c r="AJ50" s="28"/>
      <c r="AK50" s="28"/>
      <c r="AL50" s="28"/>
      <c r="AM50" s="28"/>
      <c r="AN50" s="28"/>
    </row>
    <row r="51" spans="1:40" s="2" customFormat="1" ht="16.5" customHeight="1" x14ac:dyDescent="0.3">
      <c r="A51" s="1938" t="s">
        <v>260</v>
      </c>
      <c r="B51" s="1939"/>
      <c r="C51" s="1939"/>
      <c r="D51" s="1939"/>
      <c r="E51" s="1939"/>
      <c r="F51" s="1939"/>
      <c r="G51" s="1939"/>
      <c r="H51" s="1939"/>
      <c r="I51" s="1939"/>
      <c r="J51" s="1939"/>
      <c r="K51" s="1939"/>
      <c r="L51" s="1939"/>
      <c r="M51" s="1939"/>
      <c r="N51" s="1940"/>
      <c r="O51" s="107"/>
      <c r="P51" s="1942" t="str">
        <f>+O4</f>
        <v>Equipo de transporte</v>
      </c>
      <c r="Q51" s="1942"/>
      <c r="R51" s="89">
        <f t="shared" ref="R51:AA51" si="37">SUM(R41:R50)</f>
        <v>93000</v>
      </c>
      <c r="S51" s="89">
        <f t="shared" si="37"/>
        <v>222000</v>
      </c>
      <c r="T51" s="89">
        <f t="shared" si="37"/>
        <v>379000</v>
      </c>
      <c r="U51" s="89">
        <f t="shared" si="37"/>
        <v>536000</v>
      </c>
      <c r="V51" s="89">
        <f t="shared" si="37"/>
        <v>737000</v>
      </c>
      <c r="W51" s="89">
        <f t="shared" si="37"/>
        <v>845000</v>
      </c>
      <c r="X51" s="89">
        <f t="shared" si="37"/>
        <v>945000</v>
      </c>
      <c r="Y51" s="89">
        <f t="shared" si="37"/>
        <v>1077000</v>
      </c>
      <c r="Z51" s="89">
        <f t="shared" si="37"/>
        <v>1209000</v>
      </c>
      <c r="AA51" s="89">
        <f t="shared" si="37"/>
        <v>1297000</v>
      </c>
      <c r="AB51" s="107"/>
      <c r="AC51" s="28"/>
      <c r="AD51" s="28"/>
      <c r="AE51" s="28"/>
      <c r="AF51" s="28"/>
      <c r="AG51" s="28"/>
      <c r="AH51" s="28"/>
      <c r="AI51" s="28"/>
      <c r="AJ51" s="28"/>
      <c r="AK51" s="28"/>
      <c r="AL51" s="28"/>
      <c r="AM51" s="28"/>
      <c r="AN51" s="28"/>
    </row>
    <row r="52" spans="1:40" ht="16.5" customHeight="1" thickBot="1" x14ac:dyDescent="0.35">
      <c r="A52" s="160" t="str">
        <f>+A49</f>
        <v>Gastos de organización</v>
      </c>
      <c r="B52" s="161">
        <f>+B49</f>
        <v>10</v>
      </c>
      <c r="C52" s="161">
        <f>+C49</f>
        <v>0.1</v>
      </c>
      <c r="D52" s="161"/>
      <c r="E52" s="161">
        <f>+AE60</f>
        <v>2500</v>
      </c>
      <c r="F52" s="161">
        <f t="shared" ref="F52:N52" si="38">+E52+AF60</f>
        <v>5000</v>
      </c>
      <c r="G52" s="161">
        <f t="shared" si="38"/>
        <v>7500</v>
      </c>
      <c r="H52" s="161">
        <f t="shared" si="38"/>
        <v>10000</v>
      </c>
      <c r="I52" s="161">
        <f t="shared" si="38"/>
        <v>12500</v>
      </c>
      <c r="J52" s="161">
        <f t="shared" si="38"/>
        <v>15000</v>
      </c>
      <c r="K52" s="161">
        <f t="shared" si="38"/>
        <v>17500</v>
      </c>
      <c r="L52" s="161">
        <f t="shared" si="38"/>
        <v>20000</v>
      </c>
      <c r="M52" s="161">
        <f t="shared" si="38"/>
        <v>22500</v>
      </c>
      <c r="N52" s="162">
        <f t="shared" si="38"/>
        <v>25000</v>
      </c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  <c r="AD52" s="89"/>
      <c r="AE52" s="89"/>
      <c r="AF52" s="89"/>
      <c r="AG52" s="89"/>
      <c r="AH52" s="89"/>
      <c r="AI52" s="89"/>
      <c r="AJ52" s="89"/>
      <c r="AK52" s="89"/>
      <c r="AL52" s="89"/>
      <c r="AM52" s="89"/>
      <c r="AN52" s="89"/>
    </row>
    <row r="53" spans="1:40" ht="16.5" customHeight="1" thickBot="1" x14ac:dyDescent="0.35">
      <c r="A53" s="163"/>
      <c r="B53" s="163"/>
      <c r="C53" s="163"/>
      <c r="D53" s="163"/>
      <c r="E53" s="163"/>
      <c r="F53" s="163"/>
      <c r="G53" s="163"/>
      <c r="H53" s="163"/>
      <c r="I53" s="163"/>
      <c r="J53" s="163"/>
      <c r="K53" s="163"/>
      <c r="L53" s="163"/>
      <c r="M53" s="163"/>
      <c r="N53" s="163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  <c r="AD53" s="89"/>
      <c r="AE53" s="89"/>
      <c r="AF53" s="89"/>
      <c r="AG53" s="89"/>
      <c r="AH53" s="89"/>
      <c r="AI53" s="89"/>
      <c r="AJ53" s="89"/>
      <c r="AK53" s="89"/>
      <c r="AL53" s="89"/>
      <c r="AM53" s="89"/>
      <c r="AN53" s="89"/>
    </row>
    <row r="54" spans="1:40" ht="16.5" customHeight="1" x14ac:dyDescent="0.2">
      <c r="A54" s="164" t="s">
        <v>261</v>
      </c>
      <c r="B54" s="165"/>
      <c r="C54" s="165"/>
      <c r="D54" s="166"/>
      <c r="E54" s="167">
        <f t="shared" ref="E54:N54" si="39">+E46</f>
        <v>80800</v>
      </c>
      <c r="F54" s="167">
        <f t="shared" si="39"/>
        <v>167600</v>
      </c>
      <c r="G54" s="167">
        <f t="shared" si="39"/>
        <v>257200</v>
      </c>
      <c r="H54" s="167">
        <f t="shared" si="39"/>
        <v>420800</v>
      </c>
      <c r="I54" s="167">
        <f t="shared" si="39"/>
        <v>623400</v>
      </c>
      <c r="J54" s="167">
        <f t="shared" si="39"/>
        <v>754000</v>
      </c>
      <c r="K54" s="167">
        <f t="shared" si="39"/>
        <v>946600</v>
      </c>
      <c r="L54" s="167">
        <f t="shared" si="39"/>
        <v>1142400</v>
      </c>
      <c r="M54" s="167">
        <f t="shared" si="39"/>
        <v>1267000</v>
      </c>
      <c r="N54" s="168">
        <f t="shared" si="39"/>
        <v>1459600</v>
      </c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  <c r="AE54" s="89"/>
      <c r="AF54" s="89"/>
      <c r="AG54" s="89"/>
      <c r="AH54" s="89"/>
      <c r="AI54" s="89"/>
      <c r="AJ54" s="89"/>
      <c r="AK54" s="89"/>
      <c r="AL54" s="89"/>
      <c r="AM54" s="89"/>
      <c r="AN54" s="89"/>
    </row>
    <row r="55" spans="1:40" ht="16.5" customHeight="1" x14ac:dyDescent="0.2">
      <c r="A55" s="169" t="s">
        <v>262</v>
      </c>
      <c r="B55" s="170"/>
      <c r="C55" s="170"/>
      <c r="D55" s="171"/>
      <c r="E55" s="172">
        <f>+E52</f>
        <v>2500</v>
      </c>
      <c r="F55" s="172">
        <f t="shared" ref="F55:N55" si="40">+F52</f>
        <v>5000</v>
      </c>
      <c r="G55" s="172">
        <f t="shared" si="40"/>
        <v>7500</v>
      </c>
      <c r="H55" s="172">
        <f t="shared" si="40"/>
        <v>10000</v>
      </c>
      <c r="I55" s="172">
        <f t="shared" si="40"/>
        <v>12500</v>
      </c>
      <c r="J55" s="172">
        <f t="shared" si="40"/>
        <v>15000</v>
      </c>
      <c r="K55" s="172">
        <f t="shared" si="40"/>
        <v>17500</v>
      </c>
      <c r="L55" s="172">
        <f t="shared" si="40"/>
        <v>20000</v>
      </c>
      <c r="M55" s="172">
        <f t="shared" si="40"/>
        <v>22500</v>
      </c>
      <c r="N55" s="173">
        <f t="shared" si="40"/>
        <v>25000</v>
      </c>
      <c r="O55" s="171" t="s">
        <v>149</v>
      </c>
      <c r="P55" s="174"/>
      <c r="Q55" s="174"/>
      <c r="R55" s="175">
        <f>+R40</f>
        <v>2017</v>
      </c>
      <c r="S55" s="175">
        <f>+R55+1</f>
        <v>2018</v>
      </c>
      <c r="T55" s="175">
        <f t="shared" ref="T55:AA55" si="41">+S55+1</f>
        <v>2019</v>
      </c>
      <c r="U55" s="175">
        <f t="shared" si="41"/>
        <v>2020</v>
      </c>
      <c r="V55" s="175">
        <f t="shared" si="41"/>
        <v>2021</v>
      </c>
      <c r="W55" s="175">
        <f t="shared" si="41"/>
        <v>2022</v>
      </c>
      <c r="X55" s="175">
        <f t="shared" si="41"/>
        <v>2023</v>
      </c>
      <c r="Y55" s="175">
        <f t="shared" si="41"/>
        <v>2024</v>
      </c>
      <c r="Z55" s="175">
        <f t="shared" si="41"/>
        <v>2025</v>
      </c>
      <c r="AA55" s="175">
        <f t="shared" si="41"/>
        <v>2026</v>
      </c>
      <c r="AB55" s="174" t="s">
        <v>149</v>
      </c>
      <c r="AC55" s="174"/>
      <c r="AD55" s="174"/>
      <c r="AE55" s="175">
        <f>+R40</f>
        <v>2017</v>
      </c>
      <c r="AF55" s="175">
        <f>+AE55+1</f>
        <v>2018</v>
      </c>
      <c r="AG55" s="175">
        <f t="shared" ref="AG55:AN55" si="42">+AF55+1</f>
        <v>2019</v>
      </c>
      <c r="AH55" s="175">
        <f t="shared" si="42"/>
        <v>2020</v>
      </c>
      <c r="AI55" s="175">
        <f t="shared" si="42"/>
        <v>2021</v>
      </c>
      <c r="AJ55" s="175">
        <f t="shared" si="42"/>
        <v>2022</v>
      </c>
      <c r="AK55" s="175">
        <f t="shared" si="42"/>
        <v>2023</v>
      </c>
      <c r="AL55" s="175">
        <f t="shared" si="42"/>
        <v>2024</v>
      </c>
      <c r="AM55" s="175">
        <f t="shared" si="42"/>
        <v>2025</v>
      </c>
      <c r="AN55" s="175">
        <f t="shared" si="42"/>
        <v>2026</v>
      </c>
    </row>
    <row r="56" spans="1:40" ht="16.5" customHeight="1" thickBot="1" x14ac:dyDescent="0.25">
      <c r="A56" s="176" t="s">
        <v>263</v>
      </c>
      <c r="B56" s="177"/>
      <c r="C56" s="177"/>
      <c r="D56" s="178"/>
      <c r="E56" s="117">
        <f>+E54+E55</f>
        <v>83300</v>
      </c>
      <c r="F56" s="117">
        <f t="shared" ref="F56:N56" si="43">+F54+F55</f>
        <v>172600</v>
      </c>
      <c r="G56" s="117">
        <f t="shared" si="43"/>
        <v>264700</v>
      </c>
      <c r="H56" s="117">
        <f t="shared" si="43"/>
        <v>430800</v>
      </c>
      <c r="I56" s="117">
        <f t="shared" si="43"/>
        <v>635900</v>
      </c>
      <c r="J56" s="117">
        <f t="shared" si="43"/>
        <v>769000</v>
      </c>
      <c r="K56" s="117">
        <f t="shared" si="43"/>
        <v>964100</v>
      </c>
      <c r="L56" s="117">
        <f t="shared" si="43"/>
        <v>1162400</v>
      </c>
      <c r="M56" s="117">
        <f t="shared" si="43"/>
        <v>1289500</v>
      </c>
      <c r="N56" s="179">
        <f t="shared" si="43"/>
        <v>1484600</v>
      </c>
      <c r="O56" s="114" t="str">
        <f>+AB56</f>
        <v>Gastos de estudios</v>
      </c>
      <c r="P56" s="97">
        <f>+AC56</f>
        <v>10</v>
      </c>
      <c r="Q56" s="97">
        <f>+AD56</f>
        <v>0.1</v>
      </c>
      <c r="R56" s="97">
        <f>+AE56</f>
        <v>15000</v>
      </c>
      <c r="S56" s="97">
        <f>+AF56+R56</f>
        <v>30000</v>
      </c>
      <c r="T56" s="97">
        <f>+AG56+S56</f>
        <v>45000</v>
      </c>
      <c r="U56" s="97">
        <f>+AH56+T56</f>
        <v>60000</v>
      </c>
      <c r="V56" s="97">
        <f>+AI56+U56</f>
        <v>75000</v>
      </c>
      <c r="W56" s="97">
        <f t="shared" ref="W56:AA60" si="44">+AJ56+V56</f>
        <v>90000</v>
      </c>
      <c r="X56" s="97">
        <f t="shared" si="44"/>
        <v>105000</v>
      </c>
      <c r="Y56" s="97">
        <f t="shared" si="44"/>
        <v>120000</v>
      </c>
      <c r="Z56" s="97">
        <f t="shared" si="44"/>
        <v>135000</v>
      </c>
      <c r="AA56" s="97">
        <f t="shared" si="44"/>
        <v>150000</v>
      </c>
      <c r="AB56" s="97" t="str">
        <f>+A26</f>
        <v>Gastos de estudios</v>
      </c>
      <c r="AC56" s="97">
        <f>+B20</f>
        <v>10</v>
      </c>
      <c r="AD56" s="96">
        <f>1/AC56</f>
        <v>0.1</v>
      </c>
      <c r="AE56" s="97">
        <f>(+E20+D20)*C20</f>
        <v>15000</v>
      </c>
      <c r="AF56" s="97">
        <f t="shared" ref="AF56:AN60" si="45">IF(AF$55-$AE$55+1&lt;=$AC56,$AE56,0)</f>
        <v>15000</v>
      </c>
      <c r="AG56" s="97">
        <f t="shared" si="45"/>
        <v>15000</v>
      </c>
      <c r="AH56" s="97">
        <f t="shared" si="45"/>
        <v>15000</v>
      </c>
      <c r="AI56" s="97">
        <f t="shared" si="45"/>
        <v>15000</v>
      </c>
      <c r="AJ56" s="97">
        <f t="shared" si="45"/>
        <v>15000</v>
      </c>
      <c r="AK56" s="97">
        <f t="shared" si="45"/>
        <v>15000</v>
      </c>
      <c r="AL56" s="97">
        <f t="shared" si="45"/>
        <v>15000</v>
      </c>
      <c r="AM56" s="97">
        <f t="shared" si="45"/>
        <v>15000</v>
      </c>
      <c r="AN56" s="97">
        <f t="shared" si="45"/>
        <v>15000</v>
      </c>
    </row>
    <row r="57" spans="1:40" ht="16.5" customHeight="1" thickBot="1" x14ac:dyDescent="0.25">
      <c r="A57" s="180"/>
      <c r="B57" s="181"/>
      <c r="C57" s="181"/>
      <c r="D57" s="181"/>
      <c r="E57" s="181"/>
      <c r="F57" s="181"/>
      <c r="G57" s="181"/>
      <c r="H57" s="181"/>
      <c r="I57" s="181"/>
      <c r="J57" s="181"/>
      <c r="K57" s="181"/>
      <c r="L57" s="181"/>
      <c r="M57" s="181"/>
      <c r="N57" s="182"/>
      <c r="O57" s="114">
        <f t="shared" ref="O57:Q60" si="46">+AB57</f>
        <v>0</v>
      </c>
      <c r="P57" s="97">
        <f t="shared" si="46"/>
        <v>10</v>
      </c>
      <c r="Q57" s="97">
        <f t="shared" si="46"/>
        <v>0.1</v>
      </c>
      <c r="R57" s="97">
        <f>+AE57</f>
        <v>0</v>
      </c>
      <c r="S57" s="97">
        <f t="shared" ref="S57:T60" si="47">+AF57+R57</f>
        <v>0</v>
      </c>
      <c r="T57" s="97">
        <f t="shared" si="47"/>
        <v>0</v>
      </c>
      <c r="U57" s="97">
        <f t="shared" ref="U57:V60" si="48">+AH57+T57</f>
        <v>0</v>
      </c>
      <c r="V57" s="97">
        <f t="shared" si="48"/>
        <v>0</v>
      </c>
      <c r="W57" s="97">
        <f t="shared" si="44"/>
        <v>0</v>
      </c>
      <c r="X57" s="97">
        <f t="shared" si="44"/>
        <v>0</v>
      </c>
      <c r="Y57" s="97">
        <f t="shared" si="44"/>
        <v>0</v>
      </c>
      <c r="Z57" s="97">
        <f t="shared" si="44"/>
        <v>0</v>
      </c>
      <c r="AA57" s="97">
        <f t="shared" si="44"/>
        <v>0</v>
      </c>
      <c r="AB57" s="97">
        <f>+A27</f>
        <v>0</v>
      </c>
      <c r="AC57" s="97">
        <f>+B21</f>
        <v>10</v>
      </c>
      <c r="AD57" s="96">
        <f>1/AC57</f>
        <v>0.1</v>
      </c>
      <c r="AE57" s="97">
        <f>(+E21+D21)*C21</f>
        <v>0</v>
      </c>
      <c r="AF57" s="97">
        <f t="shared" si="45"/>
        <v>0</v>
      </c>
      <c r="AG57" s="97">
        <f t="shared" si="45"/>
        <v>0</v>
      </c>
      <c r="AH57" s="97">
        <f t="shared" si="45"/>
        <v>0</v>
      </c>
      <c r="AI57" s="97">
        <f t="shared" si="45"/>
        <v>0</v>
      </c>
      <c r="AJ57" s="97">
        <f t="shared" si="45"/>
        <v>0</v>
      </c>
      <c r="AK57" s="97">
        <f t="shared" si="45"/>
        <v>0</v>
      </c>
      <c r="AL57" s="97">
        <f t="shared" si="45"/>
        <v>0</v>
      </c>
      <c r="AM57" s="97">
        <f t="shared" si="45"/>
        <v>0</v>
      </c>
      <c r="AN57" s="97">
        <f t="shared" si="45"/>
        <v>0</v>
      </c>
    </row>
    <row r="58" spans="1:40" ht="16.5" customHeight="1" x14ac:dyDescent="0.2">
      <c r="A58" s="164" t="s">
        <v>264</v>
      </c>
      <c r="B58" s="165"/>
      <c r="C58" s="165"/>
      <c r="D58" s="166"/>
      <c r="E58" s="136">
        <f>+E54</f>
        <v>80800</v>
      </c>
      <c r="F58" s="136">
        <f>+F54-E54</f>
        <v>86800</v>
      </c>
      <c r="G58" s="136">
        <f>+G54-F54</f>
        <v>89600</v>
      </c>
      <c r="H58" s="136">
        <f t="shared" ref="H58:N58" si="49">+H54-G54</f>
        <v>163600</v>
      </c>
      <c r="I58" s="136">
        <f t="shared" si="49"/>
        <v>202600</v>
      </c>
      <c r="J58" s="136">
        <f t="shared" si="49"/>
        <v>130600</v>
      </c>
      <c r="K58" s="136">
        <f t="shared" si="49"/>
        <v>192600</v>
      </c>
      <c r="L58" s="136">
        <f t="shared" si="49"/>
        <v>195800</v>
      </c>
      <c r="M58" s="136">
        <f t="shared" si="49"/>
        <v>124600</v>
      </c>
      <c r="N58" s="137">
        <f t="shared" si="49"/>
        <v>192600</v>
      </c>
      <c r="O58" s="114" t="str">
        <f t="shared" si="46"/>
        <v>Gastos de instalación</v>
      </c>
      <c r="P58" s="97">
        <f t="shared" si="46"/>
        <v>5</v>
      </c>
      <c r="Q58" s="97">
        <f t="shared" si="46"/>
        <v>0.2</v>
      </c>
      <c r="R58" s="97">
        <f>+AE58</f>
        <v>10000</v>
      </c>
      <c r="S58" s="97">
        <f t="shared" si="47"/>
        <v>20000</v>
      </c>
      <c r="T58" s="97">
        <f t="shared" si="47"/>
        <v>30000</v>
      </c>
      <c r="U58" s="97">
        <f t="shared" si="48"/>
        <v>40000</v>
      </c>
      <c r="V58" s="97">
        <f t="shared" si="48"/>
        <v>50000</v>
      </c>
      <c r="W58" s="97">
        <f t="shared" si="44"/>
        <v>50000</v>
      </c>
      <c r="X58" s="97">
        <f t="shared" si="44"/>
        <v>50000</v>
      </c>
      <c r="Y58" s="97">
        <f t="shared" si="44"/>
        <v>50000</v>
      </c>
      <c r="Z58" s="97">
        <f t="shared" si="44"/>
        <v>50000</v>
      </c>
      <c r="AA58" s="97">
        <f t="shared" si="44"/>
        <v>50000</v>
      </c>
      <c r="AB58" s="97" t="str">
        <f>+A28</f>
        <v>Gastos de instalación</v>
      </c>
      <c r="AC58" s="97">
        <f>+B22</f>
        <v>5</v>
      </c>
      <c r="AD58" s="96">
        <f>1/AC58</f>
        <v>0.2</v>
      </c>
      <c r="AE58" s="97">
        <f>(+E22+D22)*C22</f>
        <v>10000</v>
      </c>
      <c r="AF58" s="97">
        <f t="shared" si="45"/>
        <v>10000</v>
      </c>
      <c r="AG58" s="97">
        <f t="shared" si="45"/>
        <v>10000</v>
      </c>
      <c r="AH58" s="97">
        <f t="shared" si="45"/>
        <v>10000</v>
      </c>
      <c r="AI58" s="97">
        <f t="shared" si="45"/>
        <v>10000</v>
      </c>
      <c r="AJ58" s="97">
        <f t="shared" si="45"/>
        <v>0</v>
      </c>
      <c r="AK58" s="97">
        <f t="shared" si="45"/>
        <v>0</v>
      </c>
      <c r="AL58" s="97">
        <f t="shared" si="45"/>
        <v>0</v>
      </c>
      <c r="AM58" s="97">
        <f t="shared" si="45"/>
        <v>0</v>
      </c>
      <c r="AN58" s="97">
        <f t="shared" si="45"/>
        <v>0</v>
      </c>
    </row>
    <row r="59" spans="1:40" ht="16.5" customHeight="1" x14ac:dyDescent="0.2">
      <c r="A59" s="169" t="s">
        <v>265</v>
      </c>
      <c r="B59" s="170"/>
      <c r="C59" s="170"/>
      <c r="D59" s="171"/>
      <c r="E59" s="97">
        <f t="shared" ref="E59:N59" si="50">+AE60</f>
        <v>2500</v>
      </c>
      <c r="F59" s="97">
        <f t="shared" si="50"/>
        <v>2500</v>
      </c>
      <c r="G59" s="97">
        <f t="shared" si="50"/>
        <v>2500</v>
      </c>
      <c r="H59" s="97">
        <f t="shared" si="50"/>
        <v>2500</v>
      </c>
      <c r="I59" s="97">
        <f t="shared" si="50"/>
        <v>2500</v>
      </c>
      <c r="J59" s="97">
        <f t="shared" si="50"/>
        <v>2500</v>
      </c>
      <c r="K59" s="97">
        <f t="shared" si="50"/>
        <v>2500</v>
      </c>
      <c r="L59" s="97">
        <f t="shared" si="50"/>
        <v>2500</v>
      </c>
      <c r="M59" s="97">
        <f t="shared" si="50"/>
        <v>2500</v>
      </c>
      <c r="N59" s="98">
        <f t="shared" si="50"/>
        <v>2500</v>
      </c>
      <c r="O59" s="114">
        <f t="shared" si="46"/>
        <v>0</v>
      </c>
      <c r="P59" s="97">
        <f t="shared" si="46"/>
        <v>5</v>
      </c>
      <c r="Q59" s="97">
        <f t="shared" si="46"/>
        <v>0.2</v>
      </c>
      <c r="R59" s="97">
        <f>+AE59</f>
        <v>0</v>
      </c>
      <c r="S59" s="97">
        <f t="shared" si="47"/>
        <v>0</v>
      </c>
      <c r="T59" s="97">
        <f t="shared" si="47"/>
        <v>0</v>
      </c>
      <c r="U59" s="97">
        <f t="shared" si="48"/>
        <v>0</v>
      </c>
      <c r="V59" s="97">
        <f t="shared" si="48"/>
        <v>0</v>
      </c>
      <c r="W59" s="97">
        <f t="shared" si="44"/>
        <v>0</v>
      </c>
      <c r="X59" s="97">
        <f t="shared" si="44"/>
        <v>0</v>
      </c>
      <c r="Y59" s="97">
        <f t="shared" si="44"/>
        <v>0</v>
      </c>
      <c r="Z59" s="97">
        <f t="shared" si="44"/>
        <v>0</v>
      </c>
      <c r="AA59" s="97">
        <f t="shared" si="44"/>
        <v>0</v>
      </c>
      <c r="AB59" s="97">
        <f>+A29</f>
        <v>0</v>
      </c>
      <c r="AC59" s="97">
        <f>+B23</f>
        <v>5</v>
      </c>
      <c r="AD59" s="96">
        <f>1/AC59</f>
        <v>0.2</v>
      </c>
      <c r="AE59" s="97">
        <f>(+E23+D23)*C23</f>
        <v>0</v>
      </c>
      <c r="AF59" s="97">
        <f t="shared" si="45"/>
        <v>0</v>
      </c>
      <c r="AG59" s="97">
        <f t="shared" si="45"/>
        <v>0</v>
      </c>
      <c r="AH59" s="97">
        <f t="shared" si="45"/>
        <v>0</v>
      </c>
      <c r="AI59" s="97">
        <f t="shared" si="45"/>
        <v>0</v>
      </c>
      <c r="AJ59" s="97">
        <f t="shared" si="45"/>
        <v>0</v>
      </c>
      <c r="AK59" s="97">
        <f t="shared" si="45"/>
        <v>0</v>
      </c>
      <c r="AL59" s="97">
        <f t="shared" si="45"/>
        <v>0</v>
      </c>
      <c r="AM59" s="97">
        <f t="shared" si="45"/>
        <v>0</v>
      </c>
      <c r="AN59" s="97">
        <f t="shared" si="45"/>
        <v>0</v>
      </c>
    </row>
    <row r="60" spans="1:40" ht="16.5" customHeight="1" thickBot="1" x14ac:dyDescent="0.25">
      <c r="A60" s="176" t="s">
        <v>266</v>
      </c>
      <c r="B60" s="177"/>
      <c r="C60" s="177"/>
      <c r="D60" s="178"/>
      <c r="E60" s="139">
        <f>+E59+E58</f>
        <v>83300</v>
      </c>
      <c r="F60" s="139">
        <f t="shared" ref="F60:N60" si="51">+F59+F58</f>
        <v>89300</v>
      </c>
      <c r="G60" s="139">
        <f t="shared" si="51"/>
        <v>92100</v>
      </c>
      <c r="H60" s="139">
        <f t="shared" si="51"/>
        <v>166100</v>
      </c>
      <c r="I60" s="139">
        <f t="shared" si="51"/>
        <v>205100</v>
      </c>
      <c r="J60" s="139">
        <f t="shared" si="51"/>
        <v>133100</v>
      </c>
      <c r="K60" s="139">
        <f t="shared" si="51"/>
        <v>195100</v>
      </c>
      <c r="L60" s="139">
        <f t="shared" si="51"/>
        <v>198300</v>
      </c>
      <c r="M60" s="139">
        <f t="shared" si="51"/>
        <v>127100</v>
      </c>
      <c r="N60" s="140">
        <f t="shared" si="51"/>
        <v>195100</v>
      </c>
      <c r="O60" s="114" t="str">
        <f t="shared" si="46"/>
        <v>Gastos de organización</v>
      </c>
      <c r="P60" s="97">
        <f t="shared" si="46"/>
        <v>10</v>
      </c>
      <c r="Q60" s="97">
        <f t="shared" si="46"/>
        <v>0.1</v>
      </c>
      <c r="R60" s="97">
        <f>+AE60</f>
        <v>2500</v>
      </c>
      <c r="S60" s="97">
        <f t="shared" si="47"/>
        <v>5000</v>
      </c>
      <c r="T60" s="97">
        <f t="shared" si="47"/>
        <v>7500</v>
      </c>
      <c r="U60" s="97">
        <f t="shared" si="48"/>
        <v>10000</v>
      </c>
      <c r="V60" s="97">
        <f t="shared" si="48"/>
        <v>12500</v>
      </c>
      <c r="W60" s="97">
        <f t="shared" si="44"/>
        <v>15000</v>
      </c>
      <c r="X60" s="97">
        <f t="shared" si="44"/>
        <v>17500</v>
      </c>
      <c r="Y60" s="97">
        <f t="shared" si="44"/>
        <v>20000</v>
      </c>
      <c r="Z60" s="97">
        <f t="shared" si="44"/>
        <v>22500</v>
      </c>
      <c r="AA60" s="97">
        <f t="shared" si="44"/>
        <v>25000</v>
      </c>
      <c r="AB60" s="183" t="str">
        <f>+A49</f>
        <v>Gastos de organización</v>
      </c>
      <c r="AC60" s="183">
        <f>+B49</f>
        <v>10</v>
      </c>
      <c r="AD60" s="96">
        <f>+C49</f>
        <v>0.1</v>
      </c>
      <c r="AE60" s="97">
        <f>(+E49+D49)*C49</f>
        <v>2500</v>
      </c>
      <c r="AF60" s="97">
        <f t="shared" si="45"/>
        <v>2500</v>
      </c>
      <c r="AG60" s="97">
        <f t="shared" si="45"/>
        <v>2500</v>
      </c>
      <c r="AH60" s="97">
        <f t="shared" si="45"/>
        <v>2500</v>
      </c>
      <c r="AI60" s="97">
        <f t="shared" si="45"/>
        <v>2500</v>
      </c>
      <c r="AJ60" s="97">
        <f t="shared" si="45"/>
        <v>2500</v>
      </c>
      <c r="AK60" s="97">
        <f t="shared" si="45"/>
        <v>2500</v>
      </c>
      <c r="AL60" s="97">
        <f t="shared" si="45"/>
        <v>2500</v>
      </c>
      <c r="AM60" s="97">
        <f t="shared" si="45"/>
        <v>2500</v>
      </c>
      <c r="AN60" s="97">
        <f t="shared" si="45"/>
        <v>2500</v>
      </c>
    </row>
    <row r="61" spans="1:40" ht="16.5" customHeight="1" thickBot="1" x14ac:dyDescent="0.25">
      <c r="A61" s="184"/>
      <c r="B61" s="185"/>
      <c r="C61" s="185"/>
      <c r="D61" s="186"/>
      <c r="E61" s="186"/>
      <c r="F61" s="185"/>
      <c r="G61" s="185"/>
      <c r="H61" s="185"/>
      <c r="I61" s="185"/>
      <c r="J61" s="185"/>
      <c r="K61" s="185"/>
      <c r="L61" s="185"/>
      <c r="M61" s="185"/>
      <c r="N61" s="185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  <c r="AA61" s="89"/>
      <c r="AB61" s="89"/>
      <c r="AC61" s="89"/>
      <c r="AD61" s="89"/>
      <c r="AE61" s="89"/>
      <c r="AF61" s="89"/>
      <c r="AG61" s="89"/>
      <c r="AH61" s="89"/>
      <c r="AI61" s="89"/>
      <c r="AJ61" s="89"/>
      <c r="AK61" s="89"/>
      <c r="AL61" s="89"/>
      <c r="AM61" s="89"/>
      <c r="AN61" s="89"/>
    </row>
    <row r="62" spans="1:40" ht="16.5" customHeight="1" x14ac:dyDescent="0.3">
      <c r="A62" s="164" t="s">
        <v>38</v>
      </c>
      <c r="B62" s="187"/>
      <c r="C62" s="187"/>
      <c r="D62" s="188"/>
      <c r="E62" s="167">
        <f t="shared" ref="E62:N62" si="52">+E54+E37</f>
        <v>206800</v>
      </c>
      <c r="F62" s="167">
        <f t="shared" si="52"/>
        <v>630600</v>
      </c>
      <c r="G62" s="167">
        <f t="shared" si="52"/>
        <v>1095200</v>
      </c>
      <c r="H62" s="167">
        <f t="shared" si="52"/>
        <v>1633800</v>
      </c>
      <c r="I62" s="167">
        <f t="shared" si="52"/>
        <v>2255400</v>
      </c>
      <c r="J62" s="167">
        <f t="shared" si="52"/>
        <v>2689000</v>
      </c>
      <c r="K62" s="167">
        <f t="shared" si="52"/>
        <v>3176600</v>
      </c>
      <c r="L62" s="167">
        <f t="shared" si="52"/>
        <v>3692400</v>
      </c>
      <c r="M62" s="167">
        <f t="shared" si="52"/>
        <v>4137000</v>
      </c>
      <c r="N62" s="168">
        <f t="shared" si="52"/>
        <v>4615600</v>
      </c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  <c r="AA62" s="89"/>
      <c r="AB62" s="28"/>
      <c r="AC62" s="28"/>
      <c r="AD62" s="89"/>
      <c r="AE62" s="89"/>
      <c r="AF62" s="89"/>
      <c r="AG62" s="89"/>
      <c r="AH62" s="89"/>
      <c r="AI62" s="89"/>
      <c r="AJ62" s="89"/>
      <c r="AK62" s="89"/>
      <c r="AL62" s="89"/>
      <c r="AM62" s="89"/>
      <c r="AN62" s="89"/>
    </row>
    <row r="63" spans="1:40" ht="16.5" customHeight="1" x14ac:dyDescent="0.3">
      <c r="A63" s="169" t="s">
        <v>39</v>
      </c>
      <c r="B63" s="189"/>
      <c r="C63" s="189"/>
      <c r="D63" s="190"/>
      <c r="E63" s="172">
        <f t="shared" ref="E63:N63" si="53">+E55+E38</f>
        <v>27500</v>
      </c>
      <c r="F63" s="172">
        <f t="shared" si="53"/>
        <v>55000</v>
      </c>
      <c r="G63" s="172">
        <f t="shared" si="53"/>
        <v>82500</v>
      </c>
      <c r="H63" s="172">
        <f t="shared" si="53"/>
        <v>110000</v>
      </c>
      <c r="I63" s="172">
        <f t="shared" si="53"/>
        <v>137500</v>
      </c>
      <c r="J63" s="172">
        <f t="shared" si="53"/>
        <v>155000</v>
      </c>
      <c r="K63" s="172">
        <f t="shared" si="53"/>
        <v>172500</v>
      </c>
      <c r="L63" s="172">
        <f t="shared" si="53"/>
        <v>190000</v>
      </c>
      <c r="M63" s="172">
        <f t="shared" si="53"/>
        <v>207500</v>
      </c>
      <c r="N63" s="173">
        <f t="shared" si="53"/>
        <v>225000</v>
      </c>
      <c r="O63" s="89"/>
      <c r="P63" s="89" t="str">
        <f>+A43</f>
        <v>Total mobiliario y equipo de oficina</v>
      </c>
      <c r="Q63" s="89">
        <f>+B43</f>
        <v>5</v>
      </c>
      <c r="R63" s="89">
        <f>(+E43+D43)*C43</f>
        <v>80800</v>
      </c>
      <c r="S63" s="89">
        <f t="shared" ref="S63:AA63" si="54">+F43*$C43</f>
        <v>6000</v>
      </c>
      <c r="T63" s="89">
        <f t="shared" si="54"/>
        <v>2800</v>
      </c>
      <c r="U63" s="89">
        <f t="shared" si="54"/>
        <v>74000</v>
      </c>
      <c r="V63" s="89">
        <f t="shared" si="54"/>
        <v>39000</v>
      </c>
      <c r="W63" s="89">
        <f t="shared" si="54"/>
        <v>8800</v>
      </c>
      <c r="X63" s="89">
        <f t="shared" si="54"/>
        <v>68000</v>
      </c>
      <c r="Y63" s="89">
        <f t="shared" si="54"/>
        <v>6000</v>
      </c>
      <c r="Z63" s="89">
        <f t="shared" si="54"/>
        <v>2800</v>
      </c>
      <c r="AA63" s="89">
        <f t="shared" si="54"/>
        <v>107000</v>
      </c>
      <c r="AB63" s="89"/>
      <c r="AC63" s="28"/>
      <c r="AD63" s="28"/>
      <c r="AE63" s="28"/>
      <c r="AF63" s="28"/>
      <c r="AG63" s="28"/>
      <c r="AH63" s="28"/>
      <c r="AI63" s="28"/>
      <c r="AJ63" s="28"/>
      <c r="AK63" s="28"/>
      <c r="AL63" s="28"/>
      <c r="AM63" s="28"/>
      <c r="AN63" s="28"/>
    </row>
    <row r="64" spans="1:40" ht="16.5" customHeight="1" thickBot="1" x14ac:dyDescent="0.35">
      <c r="A64" s="176" t="s">
        <v>1</v>
      </c>
      <c r="B64" s="177"/>
      <c r="C64" s="177"/>
      <c r="D64" s="178"/>
      <c r="E64" s="191">
        <f>+E62+E63</f>
        <v>234300</v>
      </c>
      <c r="F64" s="191">
        <f t="shared" ref="F64:N64" si="55">+F62+F63</f>
        <v>685600</v>
      </c>
      <c r="G64" s="191">
        <f t="shared" si="55"/>
        <v>1177700</v>
      </c>
      <c r="H64" s="191">
        <f t="shared" si="55"/>
        <v>1743800</v>
      </c>
      <c r="I64" s="191">
        <f t="shared" si="55"/>
        <v>2392900</v>
      </c>
      <c r="J64" s="191">
        <f t="shared" si="55"/>
        <v>2844000</v>
      </c>
      <c r="K64" s="191">
        <f t="shared" si="55"/>
        <v>3349100</v>
      </c>
      <c r="L64" s="191">
        <f t="shared" si="55"/>
        <v>3882400</v>
      </c>
      <c r="M64" s="191">
        <f t="shared" si="55"/>
        <v>4344500</v>
      </c>
      <c r="N64" s="192">
        <f t="shared" si="55"/>
        <v>4840600</v>
      </c>
      <c r="O64" s="89"/>
      <c r="P64" s="89"/>
      <c r="Q64" s="89"/>
      <c r="R64" s="1941" t="s">
        <v>147</v>
      </c>
      <c r="S64" s="1941"/>
      <c r="T64" s="1941"/>
      <c r="U64" s="1941"/>
      <c r="V64" s="1941"/>
      <c r="W64" s="1941"/>
      <c r="X64" s="1941"/>
      <c r="Y64" s="1941"/>
      <c r="Z64" s="1941"/>
      <c r="AA64" s="1941"/>
      <c r="AB64" s="89"/>
      <c r="AC64" s="28"/>
      <c r="AD64" s="28"/>
      <c r="AE64" s="28"/>
      <c r="AF64" s="28"/>
      <c r="AG64" s="28"/>
      <c r="AH64" s="28"/>
      <c r="AI64" s="28"/>
      <c r="AJ64" s="28"/>
      <c r="AK64" s="28"/>
      <c r="AL64" s="28"/>
      <c r="AM64" s="28"/>
      <c r="AN64" s="28"/>
    </row>
    <row r="65" spans="1:40" ht="15" customHeight="1" thickBot="1" x14ac:dyDescent="0.4">
      <c r="A65" s="89"/>
      <c r="B65" s="89"/>
      <c r="C65" s="89"/>
      <c r="D65" s="193"/>
      <c r="E65" s="193"/>
      <c r="F65" s="89"/>
      <c r="G65" s="89"/>
      <c r="H65" s="89"/>
      <c r="I65" s="89"/>
      <c r="J65" s="89"/>
      <c r="K65" s="89"/>
      <c r="L65" s="89"/>
      <c r="M65" s="89"/>
      <c r="N65" s="89"/>
      <c r="O65" s="89"/>
      <c r="P65" s="89"/>
      <c r="Q65" s="89">
        <f>+B43</f>
        <v>5</v>
      </c>
      <c r="R65" s="90">
        <f>+Q66</f>
        <v>2017</v>
      </c>
      <c r="S65" s="90">
        <f>+Q66+1</f>
        <v>2018</v>
      </c>
      <c r="T65" s="91">
        <f t="shared" ref="T65:AA65" si="56">+S65+1</f>
        <v>2019</v>
      </c>
      <c r="U65" s="91">
        <f t="shared" si="56"/>
        <v>2020</v>
      </c>
      <c r="V65" s="91">
        <f t="shared" si="56"/>
        <v>2021</v>
      </c>
      <c r="W65" s="91">
        <f t="shared" si="56"/>
        <v>2022</v>
      </c>
      <c r="X65" s="91">
        <f t="shared" si="56"/>
        <v>2023</v>
      </c>
      <c r="Y65" s="91">
        <f t="shared" si="56"/>
        <v>2024</v>
      </c>
      <c r="Z65" s="91">
        <f t="shared" si="56"/>
        <v>2025</v>
      </c>
      <c r="AA65" s="92">
        <f t="shared" si="56"/>
        <v>2026</v>
      </c>
      <c r="AB65" s="89"/>
      <c r="AC65" s="28"/>
      <c r="AD65" s="28"/>
      <c r="AE65" s="28"/>
      <c r="AF65" s="28"/>
      <c r="AG65" s="28"/>
      <c r="AH65" s="28"/>
      <c r="AI65" s="28"/>
      <c r="AJ65" s="28"/>
      <c r="AK65" s="28"/>
      <c r="AL65" s="28"/>
      <c r="AM65" s="28"/>
      <c r="AN65" s="28"/>
    </row>
    <row r="66" spans="1:40" ht="15" customHeight="1" thickBot="1" x14ac:dyDescent="0.4">
      <c r="A66" s="89"/>
      <c r="B66" s="89"/>
      <c r="C66" s="89"/>
      <c r="D66" s="193"/>
      <c r="E66" s="193"/>
      <c r="F66" s="89"/>
      <c r="G66" s="89"/>
      <c r="H66" s="89"/>
      <c r="I66" s="89"/>
      <c r="J66" s="89"/>
      <c r="K66" s="89"/>
      <c r="L66" s="89"/>
      <c r="M66" s="89"/>
      <c r="N66" s="89"/>
      <c r="O66" s="89"/>
      <c r="P66" s="89">
        <f>+R63</f>
        <v>80800</v>
      </c>
      <c r="Q66" s="93">
        <f>+Q41</f>
        <v>2017</v>
      </c>
      <c r="R66" s="89">
        <f>+P66</f>
        <v>80800</v>
      </c>
      <c r="S66" s="89">
        <f t="shared" ref="S66:AA66" si="57">IF($Q$65&gt;=(S$65-$Q66+1),$P66*(S$8-$Q66+1),R66)</f>
        <v>161600</v>
      </c>
      <c r="T66" s="89">
        <f t="shared" si="57"/>
        <v>242400</v>
      </c>
      <c r="U66" s="89">
        <f t="shared" si="57"/>
        <v>323200</v>
      </c>
      <c r="V66" s="89">
        <f t="shared" si="57"/>
        <v>404000</v>
      </c>
      <c r="W66" s="89">
        <f t="shared" si="57"/>
        <v>404000</v>
      </c>
      <c r="X66" s="89">
        <f t="shared" si="57"/>
        <v>404000</v>
      </c>
      <c r="Y66" s="89">
        <f t="shared" si="57"/>
        <v>404000</v>
      </c>
      <c r="Z66" s="89">
        <f t="shared" si="57"/>
        <v>404000</v>
      </c>
      <c r="AA66" s="89">
        <f t="shared" si="57"/>
        <v>404000</v>
      </c>
      <c r="AB66" s="89"/>
      <c r="AC66" s="28"/>
      <c r="AD66" s="28"/>
      <c r="AE66" s="28"/>
      <c r="AF66" s="28"/>
      <c r="AG66" s="28"/>
      <c r="AH66" s="28"/>
      <c r="AI66" s="28"/>
      <c r="AJ66" s="28"/>
      <c r="AK66" s="28"/>
      <c r="AL66" s="28"/>
      <c r="AM66" s="28"/>
      <c r="AN66" s="28"/>
    </row>
    <row r="67" spans="1:40" ht="15" customHeight="1" thickBot="1" x14ac:dyDescent="0.4">
      <c r="A67" s="89"/>
      <c r="B67" s="89"/>
      <c r="C67" s="89"/>
      <c r="D67" s="193"/>
      <c r="E67" s="193"/>
      <c r="F67" s="89"/>
      <c r="G67" s="89"/>
      <c r="H67" s="89"/>
      <c r="I67" s="89"/>
      <c r="J67" s="89"/>
      <c r="K67" s="89"/>
      <c r="L67" s="89"/>
      <c r="M67" s="89"/>
      <c r="N67" s="89"/>
      <c r="O67" s="89"/>
      <c r="P67" s="89">
        <f>+S63</f>
        <v>6000</v>
      </c>
      <c r="Q67" s="93">
        <f t="shared" ref="Q67:Q75" si="58">+Q66+1</f>
        <v>2018</v>
      </c>
      <c r="R67" s="89"/>
      <c r="S67" s="89">
        <f>+P67</f>
        <v>6000</v>
      </c>
      <c r="T67" s="89">
        <f t="shared" ref="T67:AA67" si="59">IF($Q$65&gt;=(T$65-$Q67+1),$P67*(T$8-$Q67+1),S67)</f>
        <v>12000</v>
      </c>
      <c r="U67" s="89">
        <f t="shared" si="59"/>
        <v>18000</v>
      </c>
      <c r="V67" s="89">
        <f t="shared" si="59"/>
        <v>24000</v>
      </c>
      <c r="W67" s="89">
        <f t="shared" si="59"/>
        <v>30000</v>
      </c>
      <c r="X67" s="89">
        <f t="shared" si="59"/>
        <v>30000</v>
      </c>
      <c r="Y67" s="89">
        <f t="shared" si="59"/>
        <v>30000</v>
      </c>
      <c r="Z67" s="89">
        <f t="shared" si="59"/>
        <v>30000</v>
      </c>
      <c r="AA67" s="89">
        <f t="shared" si="59"/>
        <v>30000</v>
      </c>
      <c r="AB67" s="89"/>
      <c r="AC67" s="28"/>
      <c r="AD67" s="28"/>
      <c r="AE67" s="28"/>
      <c r="AF67" s="28"/>
      <c r="AG67" s="28"/>
      <c r="AH67" s="28"/>
      <c r="AI67" s="28"/>
      <c r="AJ67" s="28"/>
      <c r="AK67" s="28"/>
      <c r="AL67" s="28"/>
      <c r="AM67" s="28"/>
      <c r="AN67" s="28"/>
    </row>
    <row r="68" spans="1:40" ht="15" customHeight="1" thickBot="1" x14ac:dyDescent="0.4">
      <c r="A68" s="89"/>
      <c r="B68" s="89"/>
      <c r="C68" s="89"/>
      <c r="D68" s="193"/>
      <c r="E68" s="193"/>
      <c r="F68" s="89"/>
      <c r="G68" s="89"/>
      <c r="H68" s="89"/>
      <c r="I68" s="89"/>
      <c r="J68" s="89"/>
      <c r="K68" s="89"/>
      <c r="L68" s="89"/>
      <c r="M68" s="89"/>
      <c r="N68" s="89"/>
      <c r="O68" s="89"/>
      <c r="P68" s="89">
        <f>+T63</f>
        <v>2800</v>
      </c>
      <c r="Q68" s="93">
        <f t="shared" si="58"/>
        <v>2019</v>
      </c>
      <c r="R68" s="89"/>
      <c r="S68" s="89"/>
      <c r="T68" s="89">
        <f>+P68</f>
        <v>2800</v>
      </c>
      <c r="U68" s="89">
        <f t="shared" ref="U68:AA68" si="60">IF($Q$65&gt;=(U$65-$Q68+1),$P68*(U$8-$Q68+1),T68)</f>
        <v>5600</v>
      </c>
      <c r="V68" s="89">
        <f t="shared" si="60"/>
        <v>8400</v>
      </c>
      <c r="W68" s="89">
        <f t="shared" si="60"/>
        <v>11200</v>
      </c>
      <c r="X68" s="89">
        <f t="shared" si="60"/>
        <v>14000</v>
      </c>
      <c r="Y68" s="89">
        <f t="shared" si="60"/>
        <v>14000</v>
      </c>
      <c r="Z68" s="89">
        <f t="shared" si="60"/>
        <v>14000</v>
      </c>
      <c r="AA68" s="89">
        <f t="shared" si="60"/>
        <v>14000</v>
      </c>
      <c r="AB68" s="89"/>
      <c r="AC68" s="28"/>
      <c r="AD68" s="28"/>
      <c r="AE68" s="28"/>
      <c r="AF68" s="28"/>
      <c r="AG68" s="28"/>
      <c r="AH68" s="28"/>
      <c r="AI68" s="28"/>
      <c r="AJ68" s="28"/>
      <c r="AK68" s="28"/>
      <c r="AL68" s="28"/>
      <c r="AM68" s="28"/>
      <c r="AN68" s="28"/>
    </row>
    <row r="69" spans="1:40" ht="15" customHeight="1" thickBot="1" x14ac:dyDescent="0.4">
      <c r="A69" s="89"/>
      <c r="B69" s="89"/>
      <c r="C69" s="89"/>
      <c r="D69" s="193"/>
      <c r="E69" s="193"/>
      <c r="F69" s="89"/>
      <c r="G69" s="89"/>
      <c r="H69" s="89"/>
      <c r="I69" s="89"/>
      <c r="J69" s="89"/>
      <c r="K69" s="89"/>
      <c r="L69" s="89"/>
      <c r="M69" s="89"/>
      <c r="N69" s="89"/>
      <c r="O69" s="89"/>
      <c r="P69" s="89">
        <f>+U63</f>
        <v>74000</v>
      </c>
      <c r="Q69" s="93">
        <f t="shared" si="58"/>
        <v>2020</v>
      </c>
      <c r="R69" s="89"/>
      <c r="S69" s="89"/>
      <c r="T69" s="89"/>
      <c r="U69" s="89">
        <f>+P69</f>
        <v>74000</v>
      </c>
      <c r="V69" s="89">
        <f t="shared" ref="V69:AA69" si="61">IF($Q$65&gt;=(V$65-$Q69+1),$P69*(V$8-$Q69+1),U69)</f>
        <v>148000</v>
      </c>
      <c r="W69" s="89">
        <f t="shared" si="61"/>
        <v>222000</v>
      </c>
      <c r="X69" s="89">
        <f t="shared" si="61"/>
        <v>296000</v>
      </c>
      <c r="Y69" s="89">
        <f t="shared" si="61"/>
        <v>370000</v>
      </c>
      <c r="Z69" s="89">
        <f t="shared" si="61"/>
        <v>370000</v>
      </c>
      <c r="AA69" s="89">
        <f t="shared" si="61"/>
        <v>370000</v>
      </c>
      <c r="AB69" s="89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N69" s="28"/>
    </row>
    <row r="70" spans="1:40" ht="15" customHeight="1" thickBot="1" x14ac:dyDescent="0.4">
      <c r="A70" s="89"/>
      <c r="B70" s="89"/>
      <c r="C70" s="89"/>
      <c r="D70" s="193"/>
      <c r="E70" s="193"/>
      <c r="F70" s="89"/>
      <c r="G70" s="89"/>
      <c r="H70" s="89"/>
      <c r="I70" s="89"/>
      <c r="J70" s="89"/>
      <c r="K70" s="89"/>
      <c r="L70" s="89"/>
      <c r="M70" s="89"/>
      <c r="N70" s="89"/>
      <c r="O70" s="89"/>
      <c r="P70" s="89">
        <f>+V63</f>
        <v>39000</v>
      </c>
      <c r="Q70" s="93">
        <f t="shared" si="58"/>
        <v>2021</v>
      </c>
      <c r="R70" s="89"/>
      <c r="S70" s="89"/>
      <c r="T70" s="89"/>
      <c r="U70" s="89"/>
      <c r="V70" s="89">
        <f>+P70</f>
        <v>39000</v>
      </c>
      <c r="W70" s="89">
        <f>IF($Q$65&gt;=(W$65-$Q70+1),$P70*(W$8-$Q70+1),V70)</f>
        <v>78000</v>
      </c>
      <c r="X70" s="89">
        <f>IF($Q$65&gt;=(X$65-$Q70+1),$P70*(X$8-$Q70+1),W70)</f>
        <v>117000</v>
      </c>
      <c r="Y70" s="89">
        <f>IF($Q$65&gt;=(Y$65-$Q70+1),$P70*(Y$8-$Q70+1),X70)</f>
        <v>156000</v>
      </c>
      <c r="Z70" s="89">
        <f>IF($Q$65&gt;=(Z$65-$Q70+1),$P70*(Z$8-$Q70+1),Y70)</f>
        <v>195000</v>
      </c>
      <c r="AA70" s="89">
        <f>IF($Q$65&gt;=(AA$65-$Q70+1),$P70*(AA$8-$Q70+1),Z70)</f>
        <v>195000</v>
      </c>
      <c r="AB70" s="89"/>
      <c r="AC70" s="28"/>
      <c r="AD70" s="28"/>
      <c r="AE70" s="28"/>
      <c r="AF70" s="28"/>
      <c r="AG70" s="28"/>
      <c r="AH70" s="28"/>
      <c r="AI70" s="28"/>
      <c r="AJ70" s="28"/>
      <c r="AK70" s="28"/>
      <c r="AL70" s="28"/>
      <c r="AM70" s="28"/>
      <c r="AN70" s="28"/>
    </row>
    <row r="71" spans="1:40" ht="15" customHeight="1" thickBot="1" x14ac:dyDescent="0.4">
      <c r="A71" s="89"/>
      <c r="B71" s="89"/>
      <c r="C71" s="89"/>
      <c r="D71" s="193"/>
      <c r="E71" s="193"/>
      <c r="F71" s="89"/>
      <c r="G71" s="89"/>
      <c r="H71" s="89"/>
      <c r="I71" s="89"/>
      <c r="J71" s="89"/>
      <c r="K71" s="89"/>
      <c r="L71" s="89"/>
      <c r="M71" s="89"/>
      <c r="N71" s="89"/>
      <c r="O71" s="89"/>
      <c r="P71" s="89">
        <f>+W63</f>
        <v>8800</v>
      </c>
      <c r="Q71" s="93">
        <f t="shared" si="58"/>
        <v>2022</v>
      </c>
      <c r="R71" s="89"/>
      <c r="S71" s="89"/>
      <c r="T71" s="89"/>
      <c r="U71" s="89"/>
      <c r="V71" s="89"/>
      <c r="W71" s="89">
        <f>+P71</f>
        <v>8800</v>
      </c>
      <c r="X71" s="89">
        <f>IF($Q$65&gt;=(X$65-$Q71+1),$P71*(X$8-$Q71+1),W71)</f>
        <v>17600</v>
      </c>
      <c r="Y71" s="89">
        <f>IF($Q$65&gt;=(Y$65-$Q71+1),$P71*(Y$8-$Q71+1),X71)</f>
        <v>26400</v>
      </c>
      <c r="Z71" s="89">
        <f>IF($Q$65&gt;=(Z$65-$Q71+1),$P71*(Z$8-$Q71+1),Y71)</f>
        <v>35200</v>
      </c>
      <c r="AA71" s="89">
        <f>IF($Q$65&gt;=(AA$65-$Q71+1),$P71*(AA$8-$Q71+1),Z71)</f>
        <v>44000</v>
      </c>
      <c r="AB71" s="89"/>
      <c r="AC71" s="28"/>
      <c r="AD71" s="28"/>
      <c r="AE71" s="28"/>
      <c r="AF71" s="28"/>
      <c r="AG71" s="28"/>
      <c r="AH71" s="28"/>
      <c r="AI71" s="28"/>
      <c r="AJ71" s="28"/>
      <c r="AK71" s="28"/>
      <c r="AL71" s="28"/>
      <c r="AM71" s="28"/>
      <c r="AN71" s="28"/>
    </row>
    <row r="72" spans="1:40" ht="15" customHeight="1" thickBot="1" x14ac:dyDescent="0.4">
      <c r="A72" s="89"/>
      <c r="B72" s="89"/>
      <c r="C72" s="89"/>
      <c r="D72" s="193"/>
      <c r="E72" s="193"/>
      <c r="F72" s="89"/>
      <c r="G72" s="89"/>
      <c r="H72" s="89"/>
      <c r="I72" s="89"/>
      <c r="J72" s="89"/>
      <c r="K72" s="89"/>
      <c r="L72" s="89"/>
      <c r="M72" s="89"/>
      <c r="N72" s="89"/>
      <c r="O72" s="89"/>
      <c r="P72" s="89">
        <f>+X63</f>
        <v>68000</v>
      </c>
      <c r="Q72" s="93">
        <f t="shared" si="58"/>
        <v>2023</v>
      </c>
      <c r="R72" s="89"/>
      <c r="S72" s="89"/>
      <c r="T72" s="89"/>
      <c r="U72" s="89"/>
      <c r="V72" s="89"/>
      <c r="W72" s="89"/>
      <c r="X72" s="89">
        <f>+P72</f>
        <v>68000</v>
      </c>
      <c r="Y72" s="89">
        <f>IF($Q$65&gt;=(Y$65-$Q72+1),$P72*(Y$8-$Q72+1),X72)</f>
        <v>136000</v>
      </c>
      <c r="Z72" s="89">
        <f>IF($Q$65&gt;=(Z$65-$Q72+1),$P72*(Z$8-$Q72+1),Y72)</f>
        <v>204000</v>
      </c>
      <c r="AA72" s="89">
        <f>IF($Q$65&gt;=(AA$65-$Q72+1),$P72*(AA$8-$Q72+1),Z72)</f>
        <v>272000</v>
      </c>
      <c r="AB72" s="89"/>
      <c r="AC72" s="28"/>
      <c r="AD72" s="28"/>
      <c r="AE72" s="28"/>
      <c r="AF72" s="28"/>
      <c r="AG72" s="28"/>
      <c r="AH72" s="28"/>
      <c r="AI72" s="28"/>
      <c r="AJ72" s="28"/>
      <c r="AK72" s="28"/>
      <c r="AL72" s="28"/>
      <c r="AM72" s="28"/>
      <c r="AN72" s="28"/>
    </row>
    <row r="73" spans="1:40" ht="15" customHeight="1" thickBot="1" x14ac:dyDescent="0.4">
      <c r="A73" s="89"/>
      <c r="B73" s="89"/>
      <c r="C73" s="89"/>
      <c r="D73" s="193"/>
      <c r="E73" s="193"/>
      <c r="F73" s="89"/>
      <c r="G73" s="89"/>
      <c r="H73" s="89"/>
      <c r="I73" s="89"/>
      <c r="J73" s="89"/>
      <c r="K73" s="89"/>
      <c r="L73" s="89"/>
      <c r="M73" s="89"/>
      <c r="N73" s="89"/>
      <c r="O73" s="89"/>
      <c r="P73" s="89">
        <f>+Y63</f>
        <v>6000</v>
      </c>
      <c r="Q73" s="93">
        <f t="shared" si="58"/>
        <v>2024</v>
      </c>
      <c r="R73" s="89"/>
      <c r="S73" s="89"/>
      <c r="T73" s="89"/>
      <c r="U73" s="89"/>
      <c r="V73" s="89"/>
      <c r="W73" s="89"/>
      <c r="X73" s="89"/>
      <c r="Y73" s="89">
        <f>+P73</f>
        <v>6000</v>
      </c>
      <c r="Z73" s="89">
        <f>IF($Q$65&gt;=(Z$65-$Q73+1),$P73*(Z$8-$Q73+1),Y73)</f>
        <v>12000</v>
      </c>
      <c r="AA73" s="89">
        <f>IF($Q$65&gt;=(AA$65-$Q73+1),$P73*(AA$8-$Q73+1),Z73)</f>
        <v>18000</v>
      </c>
      <c r="AB73" s="89"/>
      <c r="AC73" s="28"/>
      <c r="AD73" s="28"/>
      <c r="AE73" s="28"/>
      <c r="AF73" s="28"/>
      <c r="AG73" s="28"/>
      <c r="AH73" s="28"/>
      <c r="AI73" s="28"/>
      <c r="AJ73" s="28"/>
      <c r="AK73" s="28"/>
      <c r="AL73" s="28"/>
      <c r="AM73" s="28"/>
      <c r="AN73" s="28"/>
    </row>
    <row r="74" spans="1:40" ht="15" customHeight="1" thickBot="1" x14ac:dyDescent="0.4">
      <c r="A74" s="89"/>
      <c r="B74" s="89"/>
      <c r="C74" s="89"/>
      <c r="D74" s="193"/>
      <c r="E74" s="193"/>
      <c r="F74" s="89"/>
      <c r="G74" s="89"/>
      <c r="H74" s="89"/>
      <c r="I74" s="89"/>
      <c r="J74" s="89"/>
      <c r="K74" s="89"/>
      <c r="L74" s="89"/>
      <c r="M74" s="89"/>
      <c r="N74" s="89"/>
      <c r="O74" s="89"/>
      <c r="P74" s="89">
        <f>+Z63</f>
        <v>2800</v>
      </c>
      <c r="Q74" s="93">
        <f t="shared" si="58"/>
        <v>2025</v>
      </c>
      <c r="R74" s="89"/>
      <c r="S74" s="89"/>
      <c r="T74" s="89"/>
      <c r="U74" s="89"/>
      <c r="V74" s="89"/>
      <c r="W74" s="89"/>
      <c r="X74" s="89"/>
      <c r="Y74" s="89"/>
      <c r="Z74" s="89">
        <f>+P74</f>
        <v>2800</v>
      </c>
      <c r="AA74" s="89">
        <f>IF($Q$65&gt;=(AA$65-$Q74+1),$P74*(AA$8-$Q74+1),Z74)</f>
        <v>5600</v>
      </c>
      <c r="AB74" s="89"/>
      <c r="AC74" s="28"/>
      <c r="AD74" s="28"/>
      <c r="AE74" s="28"/>
      <c r="AF74" s="28"/>
      <c r="AG74" s="28"/>
      <c r="AH74" s="28"/>
      <c r="AI74" s="28"/>
      <c r="AJ74" s="28"/>
      <c r="AK74" s="28"/>
      <c r="AL74" s="28"/>
      <c r="AM74" s="28"/>
      <c r="AN74" s="28"/>
    </row>
    <row r="75" spans="1:40" ht="15" customHeight="1" thickBot="1" x14ac:dyDescent="0.4">
      <c r="A75" s="89"/>
      <c r="B75" s="89"/>
      <c r="C75" s="89"/>
      <c r="D75" s="193"/>
      <c r="E75" s="193"/>
      <c r="F75" s="89"/>
      <c r="G75" s="89"/>
      <c r="H75" s="89"/>
      <c r="I75" s="89"/>
      <c r="J75" s="89"/>
      <c r="K75" s="89"/>
      <c r="L75" s="89"/>
      <c r="M75" s="89"/>
      <c r="N75" s="89"/>
      <c r="O75" s="89"/>
      <c r="P75" s="89">
        <f>+AA63</f>
        <v>107000</v>
      </c>
      <c r="Q75" s="93">
        <f t="shared" si="58"/>
        <v>2026</v>
      </c>
      <c r="R75" s="69"/>
      <c r="S75" s="89"/>
      <c r="T75" s="89"/>
      <c r="U75" s="89"/>
      <c r="V75" s="89"/>
      <c r="W75" s="89"/>
      <c r="X75" s="89"/>
      <c r="Y75" s="89"/>
      <c r="Z75" s="89"/>
      <c r="AA75" s="89">
        <f>+P75</f>
        <v>107000</v>
      </c>
      <c r="AB75" s="89"/>
      <c r="AC75" s="28"/>
      <c r="AD75" s="28"/>
      <c r="AE75" s="28"/>
      <c r="AF75" s="28"/>
      <c r="AG75" s="28"/>
      <c r="AH75" s="28"/>
      <c r="AI75" s="28"/>
      <c r="AJ75" s="28"/>
      <c r="AK75" s="28"/>
      <c r="AL75" s="28"/>
      <c r="AM75" s="28"/>
      <c r="AN75" s="28"/>
    </row>
    <row r="76" spans="1:40" ht="15" customHeight="1" x14ac:dyDescent="0.3">
      <c r="A76" s="89"/>
      <c r="B76" s="89"/>
      <c r="C76" s="89"/>
      <c r="D76" s="193"/>
      <c r="E76" s="193"/>
      <c r="F76" s="89"/>
      <c r="G76" s="89"/>
      <c r="H76" s="89"/>
      <c r="I76" s="89"/>
      <c r="J76" s="89"/>
      <c r="K76" s="89"/>
      <c r="L76" s="89"/>
      <c r="M76" s="89"/>
      <c r="N76" s="89"/>
      <c r="O76" s="89"/>
      <c r="P76" s="1919" t="str">
        <f>+P63</f>
        <v>Total mobiliario y equipo de oficina</v>
      </c>
      <c r="Q76" s="1919"/>
      <c r="R76" s="89">
        <f t="shared" ref="R76:AA76" si="62">SUM(R66:R75)</f>
        <v>80800</v>
      </c>
      <c r="S76" s="89">
        <f t="shared" si="62"/>
        <v>167600</v>
      </c>
      <c r="T76" s="89">
        <f t="shared" si="62"/>
        <v>257200</v>
      </c>
      <c r="U76" s="89">
        <f t="shared" si="62"/>
        <v>420800</v>
      </c>
      <c r="V76" s="89">
        <f t="shared" si="62"/>
        <v>623400</v>
      </c>
      <c r="W76" s="89">
        <f t="shared" si="62"/>
        <v>754000</v>
      </c>
      <c r="X76" s="89">
        <f t="shared" si="62"/>
        <v>946600</v>
      </c>
      <c r="Y76" s="89">
        <f t="shared" si="62"/>
        <v>1142400</v>
      </c>
      <c r="Z76" s="89">
        <f t="shared" si="62"/>
        <v>1267000</v>
      </c>
      <c r="AA76" s="89">
        <f t="shared" si="62"/>
        <v>1459600</v>
      </c>
      <c r="AB76" s="89"/>
      <c r="AC76" s="28"/>
      <c r="AD76" s="28"/>
      <c r="AE76" s="28"/>
      <c r="AF76" s="28"/>
      <c r="AG76" s="28"/>
      <c r="AH76" s="28"/>
      <c r="AI76" s="28"/>
      <c r="AJ76" s="28"/>
      <c r="AK76" s="28"/>
      <c r="AL76" s="28"/>
      <c r="AM76" s="28"/>
      <c r="AN76" s="28"/>
    </row>
    <row r="77" spans="1:40" ht="15" customHeight="1" x14ac:dyDescent="0.2">
      <c r="A77" s="89"/>
      <c r="B77" s="89"/>
      <c r="C77" s="89"/>
      <c r="D77" s="193"/>
      <c r="E77" s="193"/>
      <c r="F77" s="89"/>
      <c r="G77" s="89"/>
      <c r="H77" s="89"/>
      <c r="I77" s="89"/>
      <c r="J77" s="89"/>
      <c r="K77" s="89"/>
      <c r="L77" s="89"/>
      <c r="M77" s="89"/>
      <c r="N77" s="89"/>
      <c r="O77" s="89"/>
      <c r="P77" s="89"/>
      <c r="Q77" s="89"/>
      <c r="R77" s="89"/>
      <c r="S77" s="89"/>
      <c r="T77" s="89"/>
      <c r="U77" s="89"/>
      <c r="V77" s="89"/>
      <c r="W77" s="89"/>
      <c r="X77" s="89"/>
      <c r="Y77" s="89"/>
      <c r="Z77" s="89"/>
      <c r="AA77" s="89"/>
      <c r="AB77" s="89"/>
      <c r="AC77" s="89"/>
      <c r="AD77" s="89"/>
      <c r="AE77" s="89"/>
      <c r="AF77" s="89"/>
      <c r="AG77" s="89"/>
      <c r="AH77" s="89"/>
      <c r="AI77" s="89"/>
      <c r="AJ77" s="89"/>
      <c r="AK77" s="89"/>
      <c r="AL77" s="89"/>
      <c r="AM77" s="89"/>
      <c r="AN77" s="89"/>
    </row>
  </sheetData>
  <customSheetViews>
    <customSheetView guid="{8FC2DB0D-4D0A-11D3-9924-0080ADC9B26E}" scale="75" fitToPage="1" showRuler="0" topLeftCell="B1">
      <selection activeCell="F44" sqref="F44"/>
      <pageMargins left="0.78740157480314965" right="0.78740157480314965" top="0.78740157480314965" bottom="0.78740157480314965" header="0" footer="0"/>
      <printOptions horizontalCentered="1" verticalCentered="1"/>
      <pageSetup scale="95" orientation="landscape" blackAndWhite="1" horizontalDpi="360" verticalDpi="360" r:id="rId1"/>
      <headerFooter alignWithMargins="0"/>
    </customSheetView>
  </customSheetViews>
  <mergeCells count="33">
    <mergeCell ref="R23:AA23"/>
    <mergeCell ref="A8:N8"/>
    <mergeCell ref="A14:N14"/>
    <mergeCell ref="A9:N9"/>
    <mergeCell ref="R64:AA64"/>
    <mergeCell ref="A25:N25"/>
    <mergeCell ref="A37:D37"/>
    <mergeCell ref="A38:D38"/>
    <mergeCell ref="A39:D39"/>
    <mergeCell ref="R39:AA39"/>
    <mergeCell ref="P51:Q51"/>
    <mergeCell ref="A34:D34"/>
    <mergeCell ref="P35:Q35"/>
    <mergeCell ref="A32:D32"/>
    <mergeCell ref="R7:AA7"/>
    <mergeCell ref="P19:Q19"/>
    <mergeCell ref="B1:F1"/>
    <mergeCell ref="G1:J1"/>
    <mergeCell ref="K1:N1"/>
    <mergeCell ref="B3:N3"/>
    <mergeCell ref="C5:C6"/>
    <mergeCell ref="P76:Q76"/>
    <mergeCell ref="A41:N41"/>
    <mergeCell ref="A42:N42"/>
    <mergeCell ref="B2:N2"/>
    <mergeCell ref="B5:B6"/>
    <mergeCell ref="A5:A6"/>
    <mergeCell ref="A19:E19"/>
    <mergeCell ref="A1:A2"/>
    <mergeCell ref="A33:D33"/>
    <mergeCell ref="A48:E48"/>
    <mergeCell ref="A45:N45"/>
    <mergeCell ref="A51:N51"/>
  </mergeCells>
  <phoneticPr fontId="20" type="noConversion"/>
  <pageMargins left="0.39370078740157483" right="0.39370078740157483" top="0.78740157480314965" bottom="0.59055118110236227" header="0.39370078740157483" footer="0.39370078740157483"/>
  <pageSetup scale="45" fitToWidth="3" orientation="landscape" blackAndWhite="1" horizontalDpi="4294967293" verticalDpi="300" r:id="rId2"/>
  <headerFooter alignWithMargins="0">
    <oddHeader>&amp;C&amp;"Arial,Negrita"&amp;7Estudio de Factibilidad para el establecimiento de un mercado de mariscos en Hermosillo, Sonora</oddHeader>
    <oddFooter>&amp;L&amp;"Arial,Normal"&amp;7&amp;F - Hoja: &amp;A&amp;C&amp;"Arial,Normal"&amp;7&amp;D&amp;R&amp;"Arial,Normal"&amp;7&amp;P de 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2">
    <tabColor rgb="FFFF0000"/>
  </sheetPr>
  <dimension ref="A1:DE168"/>
  <sheetViews>
    <sheetView showGridLines="0" view="pageBreakPreview" zoomScale="65" zoomScaleNormal="65" zoomScaleSheetLayoutView="65" workbookViewId="0">
      <pane xSplit="1" ySplit="7" topLeftCell="B16" activePane="bottomRight" state="frozen"/>
      <selection pane="topRight" activeCell="B1" sqref="B1"/>
      <selection pane="bottomLeft" activeCell="A8" sqref="A8"/>
      <selection pane="bottomRight" activeCell="B57" sqref="B57"/>
    </sheetView>
  </sheetViews>
  <sheetFormatPr baseColWidth="10" defaultColWidth="11" defaultRowHeight="12.75" x14ac:dyDescent="0.2"/>
  <cols>
    <col min="1" max="1" width="22.625" style="16" customWidth="1"/>
    <col min="2" max="27" width="11.75" style="16" customWidth="1"/>
    <col min="28" max="37" width="15.25" style="16" customWidth="1"/>
    <col min="38" max="74" width="8.75" style="16" customWidth="1"/>
    <col min="75" max="109" width="8.125" style="16" customWidth="1"/>
    <col min="110" max="16384" width="11" style="16"/>
  </cols>
  <sheetData>
    <row r="1" spans="1:85" ht="18.75" customHeight="1" x14ac:dyDescent="0.2">
      <c r="A1" s="1131" t="s">
        <v>308</v>
      </c>
      <c r="B1" s="1965" t="str">
        <f>+'19 Resumen'!D4</f>
        <v>La Lasaña de Garfield</v>
      </c>
      <c r="C1" s="1965"/>
      <c r="D1" s="1965"/>
      <c r="E1" s="1965"/>
      <c r="F1" s="1965"/>
      <c r="G1" s="1965"/>
      <c r="H1" s="1965"/>
      <c r="I1" s="1965" t="str">
        <f>+'19 Resumen'!D5</f>
        <v>Martin Delgado</v>
      </c>
      <c r="J1" s="1965"/>
      <c r="K1" s="1965"/>
      <c r="L1" s="1965" t="str">
        <f>+'19 Resumen'!D6</f>
        <v>Grupo Delgado´s</v>
      </c>
      <c r="M1" s="1965"/>
      <c r="N1" s="1965"/>
      <c r="O1" s="1965" t="str">
        <f>+B1</f>
        <v>La Lasaña de Garfield</v>
      </c>
      <c r="P1" s="1965"/>
      <c r="Q1" s="1965"/>
      <c r="R1" s="1965"/>
      <c r="S1" s="1965"/>
      <c r="T1" s="1965"/>
      <c r="U1" s="1965"/>
      <c r="V1" s="1965" t="str">
        <f>+I1</f>
        <v>Martin Delgado</v>
      </c>
      <c r="W1" s="1965"/>
      <c r="X1" s="1965"/>
      <c r="Y1" s="1965" t="str">
        <f>+L1</f>
        <v>Grupo Delgado´s</v>
      </c>
      <c r="Z1" s="1965"/>
      <c r="AA1" s="1965"/>
      <c r="AB1" s="1966" t="str">
        <f>+O1</f>
        <v>La Lasaña de Garfield</v>
      </c>
      <c r="AC1" s="1966"/>
      <c r="AD1" s="1966"/>
      <c r="AE1" s="1966"/>
      <c r="AF1" s="1966" t="str">
        <f>+V1</f>
        <v>Martin Delgado</v>
      </c>
      <c r="AG1" s="1966"/>
      <c r="AH1" s="1966"/>
      <c r="AI1" s="1966" t="str">
        <f>+Y1</f>
        <v>Grupo Delgado´s</v>
      </c>
      <c r="AJ1" s="1966"/>
      <c r="AK1" s="1966"/>
      <c r="AL1" s="53">
        <v>1</v>
      </c>
      <c r="AM1" s="39"/>
      <c r="AN1" s="39"/>
      <c r="AO1" s="39"/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  <c r="BM1" s="39"/>
      <c r="BN1" s="39"/>
      <c r="BO1" s="39"/>
      <c r="BP1" s="39"/>
      <c r="BQ1" s="39"/>
      <c r="BR1" s="39"/>
      <c r="BS1" s="39"/>
      <c r="BT1" s="39"/>
      <c r="BU1" s="39"/>
      <c r="BV1" s="39"/>
      <c r="BW1" s="39"/>
      <c r="BX1" s="39"/>
      <c r="BY1" s="39"/>
      <c r="BZ1" s="39"/>
      <c r="CA1" s="39"/>
      <c r="CB1" s="39"/>
      <c r="CC1" s="39"/>
      <c r="CD1" s="39"/>
      <c r="CE1" s="39"/>
      <c r="CF1" s="39"/>
      <c r="CG1" s="39"/>
    </row>
    <row r="2" spans="1:85" ht="18.75" customHeight="1" x14ac:dyDescent="0.2">
      <c r="A2" s="1969">
        <f>+'19 Resumen'!D2</f>
        <v>42747</v>
      </c>
      <c r="B2" s="1965" t="s">
        <v>308</v>
      </c>
      <c r="C2" s="1965"/>
      <c r="D2" s="1965"/>
      <c r="E2" s="1965"/>
      <c r="F2" s="1965"/>
      <c r="G2" s="1965"/>
      <c r="H2" s="1965"/>
      <c r="I2" s="1965"/>
      <c r="J2" s="1965"/>
      <c r="K2" s="1965"/>
      <c r="L2" s="1965"/>
      <c r="M2" s="1965"/>
      <c r="N2" s="1965"/>
      <c r="O2" s="1965" t="str">
        <f>+B2</f>
        <v>Credito Refaccionario</v>
      </c>
      <c r="P2" s="1965"/>
      <c r="Q2" s="1965"/>
      <c r="R2" s="1965"/>
      <c r="S2" s="1965"/>
      <c r="T2" s="1965"/>
      <c r="U2" s="1965"/>
      <c r="V2" s="1965"/>
      <c r="W2" s="1965"/>
      <c r="X2" s="1965"/>
      <c r="Y2" s="1965"/>
      <c r="Z2" s="1965"/>
      <c r="AA2" s="1965"/>
      <c r="AB2" s="1966" t="str">
        <f>+O2</f>
        <v>Credito Refaccionario</v>
      </c>
      <c r="AC2" s="1966"/>
      <c r="AD2" s="1966"/>
      <c r="AE2" s="1966"/>
      <c r="AF2" s="1966"/>
      <c r="AG2" s="1966"/>
      <c r="AH2" s="1966"/>
      <c r="AI2" s="1966"/>
      <c r="AJ2" s="1966"/>
      <c r="AK2" s="1966"/>
      <c r="AL2" s="39"/>
      <c r="AM2" s="39"/>
      <c r="AN2" s="39"/>
      <c r="AO2" s="39"/>
      <c r="AP2" s="39"/>
      <c r="AQ2" s="39"/>
      <c r="AR2" s="39"/>
      <c r="AS2" s="39"/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/>
      <c r="CB2" s="39"/>
      <c r="CC2" s="39"/>
      <c r="CD2" s="39"/>
      <c r="CE2" s="39"/>
      <c r="CF2" s="39"/>
      <c r="CG2" s="39"/>
    </row>
    <row r="3" spans="1:85" ht="18.75" hidden="1" customHeight="1" thickBot="1" x14ac:dyDescent="0.25">
      <c r="A3" s="1969"/>
      <c r="B3" s="1132">
        <v>1</v>
      </c>
      <c r="C3" s="1132">
        <f t="shared" ref="C3:M3" si="0">+B3+1</f>
        <v>2</v>
      </c>
      <c r="D3" s="1132">
        <f t="shared" si="0"/>
        <v>3</v>
      </c>
      <c r="E3" s="1132">
        <f t="shared" si="0"/>
        <v>4</v>
      </c>
      <c r="F3" s="1132">
        <f t="shared" si="0"/>
        <v>5</v>
      </c>
      <c r="G3" s="1132">
        <f t="shared" si="0"/>
        <v>6</v>
      </c>
      <c r="H3" s="1132">
        <f t="shared" si="0"/>
        <v>7</v>
      </c>
      <c r="I3" s="1132">
        <f t="shared" si="0"/>
        <v>8</v>
      </c>
      <c r="J3" s="1132">
        <f t="shared" si="0"/>
        <v>9</v>
      </c>
      <c r="K3" s="1132">
        <f t="shared" si="0"/>
        <v>10</v>
      </c>
      <c r="L3" s="1132">
        <f t="shared" si="0"/>
        <v>11</v>
      </c>
      <c r="M3" s="1132">
        <f t="shared" si="0"/>
        <v>12</v>
      </c>
      <c r="N3" s="1133"/>
      <c r="O3" s="1133">
        <f>+M3+1</f>
        <v>13</v>
      </c>
      <c r="P3" s="1132">
        <f t="shared" ref="P3:Z3" si="1">+O3+1</f>
        <v>14</v>
      </c>
      <c r="Q3" s="1132">
        <f t="shared" si="1"/>
        <v>15</v>
      </c>
      <c r="R3" s="1132">
        <f t="shared" si="1"/>
        <v>16</v>
      </c>
      <c r="S3" s="1132">
        <f t="shared" si="1"/>
        <v>17</v>
      </c>
      <c r="T3" s="1132">
        <f t="shared" si="1"/>
        <v>18</v>
      </c>
      <c r="U3" s="1132">
        <f t="shared" si="1"/>
        <v>19</v>
      </c>
      <c r="V3" s="1132">
        <f t="shared" si="1"/>
        <v>20</v>
      </c>
      <c r="W3" s="1132">
        <f t="shared" si="1"/>
        <v>21</v>
      </c>
      <c r="X3" s="1132">
        <f t="shared" si="1"/>
        <v>22</v>
      </c>
      <c r="Y3" s="1132">
        <f t="shared" si="1"/>
        <v>23</v>
      </c>
      <c r="Z3" s="1132">
        <f t="shared" si="1"/>
        <v>24</v>
      </c>
      <c r="AA3" s="1134"/>
      <c r="AB3" s="1134"/>
      <c r="AC3" s="1134"/>
      <c r="AD3" s="1134"/>
      <c r="AE3" s="1134"/>
      <c r="AF3" s="1134"/>
      <c r="AG3" s="1134"/>
      <c r="AH3" s="1134"/>
      <c r="AI3" s="1134"/>
      <c r="AJ3" s="1134"/>
      <c r="AK3" s="1134"/>
      <c r="AL3" s="39"/>
      <c r="AM3" s="39"/>
      <c r="AN3" s="39"/>
      <c r="AO3" s="39"/>
      <c r="AP3" s="39"/>
      <c r="AQ3" s="39"/>
      <c r="AR3" s="39"/>
      <c r="AS3" s="39"/>
      <c r="AT3" s="39"/>
      <c r="AU3" s="39"/>
      <c r="AV3" s="39"/>
      <c r="AW3" s="39"/>
      <c r="AX3" s="39"/>
      <c r="AY3" s="39"/>
      <c r="AZ3" s="39"/>
      <c r="BA3" s="39"/>
      <c r="BB3" s="39"/>
      <c r="BC3" s="39"/>
      <c r="BD3" s="39"/>
      <c r="BE3" s="39"/>
      <c r="BF3" s="39"/>
      <c r="BG3" s="39"/>
      <c r="BH3" s="39"/>
      <c r="BI3" s="39"/>
      <c r="BJ3" s="39"/>
      <c r="BK3" s="39"/>
      <c r="BL3" s="39"/>
      <c r="BM3" s="39"/>
      <c r="BN3" s="39"/>
      <c r="BO3" s="39"/>
      <c r="BP3" s="39"/>
      <c r="BQ3" s="39"/>
      <c r="BR3" s="39"/>
      <c r="BS3" s="39"/>
      <c r="BT3" s="39"/>
      <c r="BU3" s="39"/>
      <c r="BV3" s="39"/>
      <c r="BW3" s="39"/>
      <c r="BX3" s="39"/>
      <c r="BY3" s="39"/>
      <c r="BZ3" s="39"/>
      <c r="CA3" s="39"/>
      <c r="CB3" s="39"/>
      <c r="CC3" s="39"/>
      <c r="CD3" s="39"/>
      <c r="CE3" s="39"/>
      <c r="CF3" s="39"/>
      <c r="CG3" s="39"/>
    </row>
    <row r="4" spans="1:85" ht="18.75" customHeight="1" x14ac:dyDescent="0.2">
      <c r="A4" s="1969"/>
      <c r="B4" s="1135" t="s">
        <v>203</v>
      </c>
      <c r="C4" s="1136" t="s">
        <v>186</v>
      </c>
      <c r="D4" s="1136" t="s">
        <v>185</v>
      </c>
      <c r="E4" s="1135" t="s">
        <v>187</v>
      </c>
      <c r="F4" s="1137" t="str">
        <f>+'16 Crédito de Avio'!F4</f>
        <v>Entrega</v>
      </c>
      <c r="G4" s="1964" t="str">
        <f>IF(AL1=1,"Credito sobre saldos insolutos", IF(AL1=2,"Intereses y capital a la cosecha, capitalizado mensual", IF(AL1=3,"Pagos fijos mensuales e interes sobre saldos insolutos", IF(AL1=4,"Pago pactado a la cosecha con intereses",0))))</f>
        <v>Credito sobre saldos insolutos</v>
      </c>
      <c r="H4" s="1964"/>
      <c r="I4" s="1964"/>
      <c r="J4" s="1964"/>
      <c r="K4" s="1964"/>
      <c r="L4" s="1964"/>
      <c r="M4" s="1964"/>
      <c r="N4" s="1964"/>
      <c r="O4" s="1135" t="str">
        <f>+B4</f>
        <v>Crédito</v>
      </c>
      <c r="P4" s="1136" t="str">
        <f>+C4</f>
        <v>Tasa:</v>
      </c>
      <c r="Q4" s="1136" t="str">
        <f t="shared" ref="Q4:S5" si="2">+D4</f>
        <v>Gracia</v>
      </c>
      <c r="R4" s="1136" t="str">
        <f t="shared" si="2"/>
        <v>Periodo</v>
      </c>
      <c r="S4" s="1136" t="str">
        <f t="shared" si="2"/>
        <v>Entrega</v>
      </c>
      <c r="T4" s="1964" t="str">
        <f>+G4</f>
        <v>Credito sobre saldos insolutos</v>
      </c>
      <c r="U4" s="1964"/>
      <c r="V4" s="1964"/>
      <c r="W4" s="1964"/>
      <c r="X4" s="1964"/>
      <c r="Y4" s="1964"/>
      <c r="Z4" s="1964"/>
      <c r="AA4" s="1964"/>
      <c r="AB4" s="1135" t="str">
        <f t="shared" ref="AB4:AD5" si="3">+O4</f>
        <v>Crédito</v>
      </c>
      <c r="AC4" s="1136" t="str">
        <f t="shared" si="3"/>
        <v>Tasa:</v>
      </c>
      <c r="AD4" s="1136" t="str">
        <f t="shared" si="3"/>
        <v>Gracia</v>
      </c>
      <c r="AE4" s="1136" t="str">
        <f>+R4</f>
        <v>Periodo</v>
      </c>
      <c r="AF4" s="1136" t="str">
        <f>+S4</f>
        <v>Entrega</v>
      </c>
      <c r="AG4" s="1964" t="str">
        <f>+T4</f>
        <v>Credito sobre saldos insolutos</v>
      </c>
      <c r="AH4" s="1964"/>
      <c r="AI4" s="1964"/>
      <c r="AJ4" s="1964"/>
      <c r="AK4" s="1964"/>
      <c r="AL4" s="39"/>
      <c r="AM4" s="39"/>
      <c r="AN4" s="48"/>
      <c r="AO4" s="39"/>
      <c r="AP4" s="39"/>
      <c r="AQ4" s="39"/>
      <c r="AR4" s="39"/>
      <c r="AS4" s="39"/>
      <c r="AT4" s="39"/>
      <c r="AU4" s="39"/>
      <c r="AV4" s="39"/>
      <c r="AW4" s="39"/>
      <c r="AX4" s="39"/>
      <c r="AY4" s="39"/>
      <c r="AZ4" s="39"/>
      <c r="BA4" s="39"/>
      <c r="BB4" s="39"/>
      <c r="BC4" s="39"/>
      <c r="BD4" s="39"/>
      <c r="BE4" s="39"/>
      <c r="BF4" s="39"/>
      <c r="BG4" s="39"/>
      <c r="BH4" s="39"/>
      <c r="BI4" s="39"/>
      <c r="BJ4" s="39"/>
      <c r="BK4" s="39"/>
      <c r="BL4" s="39"/>
      <c r="BM4" s="39"/>
      <c r="BN4" s="39"/>
      <c r="BO4" s="39"/>
      <c r="BP4" s="39"/>
      <c r="BQ4" s="39"/>
      <c r="BR4" s="39"/>
      <c r="BS4" s="39"/>
      <c r="BT4" s="39"/>
      <c r="BU4" s="39"/>
      <c r="BV4" s="39"/>
      <c r="BW4" s="39"/>
      <c r="BX4" s="39"/>
      <c r="BY4" s="39"/>
      <c r="BZ4" s="39"/>
      <c r="CA4" s="39"/>
      <c r="CB4" s="39"/>
      <c r="CC4" s="39"/>
      <c r="CD4" s="39"/>
      <c r="CE4" s="39"/>
      <c r="CF4" s="39"/>
      <c r="CG4" s="39"/>
    </row>
    <row r="5" spans="1:85" ht="18.75" customHeight="1" x14ac:dyDescent="0.2">
      <c r="A5" s="1966" t="s">
        <v>136</v>
      </c>
      <c r="B5" s="1137">
        <f>+'19 Resumen'!D19</f>
        <v>100000</v>
      </c>
      <c r="C5" s="1138">
        <f>+'19 Resumen'!D15</f>
        <v>0.12</v>
      </c>
      <c r="D5" s="1137">
        <f>+'19 Resumen'!D22</f>
        <v>6</v>
      </c>
      <c r="E5" s="1137">
        <f>+'19 Resumen'!D21</f>
        <v>60</v>
      </c>
      <c r="F5" s="1137">
        <f>+'19 Resumen'!D23</f>
        <v>3</v>
      </c>
      <c r="G5" s="1964"/>
      <c r="H5" s="1964"/>
      <c r="I5" s="1964"/>
      <c r="J5" s="1964"/>
      <c r="K5" s="1964"/>
      <c r="L5" s="1964"/>
      <c r="M5" s="1964"/>
      <c r="N5" s="1964"/>
      <c r="O5" s="1137">
        <f>+B5</f>
        <v>100000</v>
      </c>
      <c r="P5" s="1138">
        <f>+C5</f>
        <v>0.12</v>
      </c>
      <c r="Q5" s="1139">
        <f t="shared" si="2"/>
        <v>6</v>
      </c>
      <c r="R5" s="1139">
        <f t="shared" si="2"/>
        <v>60</v>
      </c>
      <c r="S5" s="1139">
        <f t="shared" si="2"/>
        <v>3</v>
      </c>
      <c r="T5" s="1964"/>
      <c r="U5" s="1964"/>
      <c r="V5" s="1964"/>
      <c r="W5" s="1964"/>
      <c r="X5" s="1964"/>
      <c r="Y5" s="1964"/>
      <c r="Z5" s="1964"/>
      <c r="AA5" s="1964"/>
      <c r="AB5" s="1137">
        <f t="shared" si="3"/>
        <v>100000</v>
      </c>
      <c r="AC5" s="1138">
        <f t="shared" si="3"/>
        <v>0.12</v>
      </c>
      <c r="AD5" s="1137">
        <f t="shared" si="3"/>
        <v>6</v>
      </c>
      <c r="AE5" s="1137">
        <f>+R5</f>
        <v>60</v>
      </c>
      <c r="AF5" s="1137">
        <f>+S5</f>
        <v>3</v>
      </c>
      <c r="AG5" s="1964"/>
      <c r="AH5" s="1964"/>
      <c r="AI5" s="1964"/>
      <c r="AJ5" s="1964"/>
      <c r="AK5" s="1964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  <c r="AW5" s="39"/>
      <c r="AX5" s="39"/>
      <c r="AY5" s="39"/>
      <c r="AZ5" s="39"/>
      <c r="BA5" s="39"/>
      <c r="BB5" s="39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9"/>
      <c r="CB5" s="39"/>
      <c r="CC5" s="39"/>
      <c r="CD5" s="39"/>
      <c r="CE5" s="39"/>
      <c r="CF5" s="39"/>
      <c r="CG5" s="39"/>
    </row>
    <row r="6" spans="1:85" ht="18.75" customHeight="1" x14ac:dyDescent="0.2">
      <c r="A6" s="1966"/>
      <c r="B6" s="1962">
        <f>+'10 Gastos  Admon y Ventas'!E5</f>
        <v>2017</v>
      </c>
      <c r="C6" s="1962"/>
      <c r="D6" s="1962"/>
      <c r="E6" s="1962"/>
      <c r="F6" s="1962"/>
      <c r="G6" s="1962"/>
      <c r="H6" s="1962"/>
      <c r="I6" s="1962"/>
      <c r="J6" s="1962"/>
      <c r="K6" s="1962"/>
      <c r="L6" s="1962"/>
      <c r="M6" s="1962"/>
      <c r="N6" s="1963" t="s">
        <v>130</v>
      </c>
      <c r="O6" s="1962">
        <f>+B6+1</f>
        <v>2018</v>
      </c>
      <c r="P6" s="1962"/>
      <c r="Q6" s="1962"/>
      <c r="R6" s="1962"/>
      <c r="S6" s="1962"/>
      <c r="T6" s="1962"/>
      <c r="U6" s="1962"/>
      <c r="V6" s="1962"/>
      <c r="W6" s="1962"/>
      <c r="X6" s="1962"/>
      <c r="Y6" s="1962"/>
      <c r="Z6" s="1962"/>
      <c r="AA6" s="1963" t="s">
        <v>132</v>
      </c>
      <c r="AB6" s="1140" t="s">
        <v>1</v>
      </c>
      <c r="AC6" s="1140" t="s">
        <v>1</v>
      </c>
      <c r="AD6" s="1140" t="s">
        <v>1</v>
      </c>
      <c r="AE6" s="1140" t="s">
        <v>1</v>
      </c>
      <c r="AF6" s="1140" t="s">
        <v>1</v>
      </c>
      <c r="AG6" s="1140" t="s">
        <v>1</v>
      </c>
      <c r="AH6" s="1140" t="s">
        <v>1</v>
      </c>
      <c r="AI6" s="1140" t="s">
        <v>1</v>
      </c>
      <c r="AJ6" s="1140" t="s">
        <v>1</v>
      </c>
      <c r="AK6" s="1140" t="s">
        <v>1</v>
      </c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</row>
    <row r="7" spans="1:85" ht="18.75" customHeight="1" x14ac:dyDescent="0.2">
      <c r="A7" s="1966"/>
      <c r="B7" s="1141" t="s">
        <v>60</v>
      </c>
      <c r="C7" s="1141" t="s">
        <v>61</v>
      </c>
      <c r="D7" s="1141" t="s">
        <v>62</v>
      </c>
      <c r="E7" s="1141" t="s">
        <v>63</v>
      </c>
      <c r="F7" s="1141" t="s">
        <v>64</v>
      </c>
      <c r="G7" s="1141" t="s">
        <v>65</v>
      </c>
      <c r="H7" s="1141" t="s">
        <v>66</v>
      </c>
      <c r="I7" s="1141" t="s">
        <v>67</v>
      </c>
      <c r="J7" s="1141" t="s">
        <v>68</v>
      </c>
      <c r="K7" s="1141" t="s">
        <v>69</v>
      </c>
      <c r="L7" s="1141" t="s">
        <v>70</v>
      </c>
      <c r="M7" s="1141" t="s">
        <v>71</v>
      </c>
      <c r="N7" s="1963"/>
      <c r="O7" s="1141" t="s">
        <v>60</v>
      </c>
      <c r="P7" s="1141" t="s">
        <v>61</v>
      </c>
      <c r="Q7" s="1141" t="s">
        <v>62</v>
      </c>
      <c r="R7" s="1141" t="s">
        <v>63</v>
      </c>
      <c r="S7" s="1141" t="s">
        <v>64</v>
      </c>
      <c r="T7" s="1141" t="s">
        <v>65</v>
      </c>
      <c r="U7" s="1141" t="s">
        <v>66</v>
      </c>
      <c r="V7" s="1141" t="s">
        <v>67</v>
      </c>
      <c r="W7" s="1141" t="s">
        <v>68</v>
      </c>
      <c r="X7" s="1141" t="s">
        <v>69</v>
      </c>
      <c r="Y7" s="1141" t="s">
        <v>70</v>
      </c>
      <c r="Z7" s="1141" t="s">
        <v>71</v>
      </c>
      <c r="AA7" s="1963"/>
      <c r="AB7" s="1140">
        <f>+'17 Hoja de Trabajo'!D2</f>
        <v>2017</v>
      </c>
      <c r="AC7" s="1140">
        <f>+AB7+1</f>
        <v>2018</v>
      </c>
      <c r="AD7" s="1140">
        <f t="shared" ref="AD7:AK7" si="4">+AC7+1</f>
        <v>2019</v>
      </c>
      <c r="AE7" s="1140">
        <f t="shared" si="4"/>
        <v>2020</v>
      </c>
      <c r="AF7" s="1140">
        <f t="shared" si="4"/>
        <v>2021</v>
      </c>
      <c r="AG7" s="1140">
        <f t="shared" si="4"/>
        <v>2022</v>
      </c>
      <c r="AH7" s="1140">
        <f t="shared" si="4"/>
        <v>2023</v>
      </c>
      <c r="AI7" s="1140">
        <f t="shared" si="4"/>
        <v>2024</v>
      </c>
      <c r="AJ7" s="1140">
        <f t="shared" si="4"/>
        <v>2025</v>
      </c>
      <c r="AK7" s="1140">
        <f t="shared" si="4"/>
        <v>2026</v>
      </c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</row>
    <row r="8" spans="1:85" ht="18.75" customHeight="1" x14ac:dyDescent="0.2">
      <c r="A8" s="1142" t="s">
        <v>43</v>
      </c>
      <c r="B8" s="35">
        <f t="shared" ref="B8:M8" si="5">IF(B31=0,0,IF(B31=1,$B$5,A12))</f>
        <v>0</v>
      </c>
      <c r="C8" s="35">
        <f t="shared" si="5"/>
        <v>0</v>
      </c>
      <c r="D8" s="35">
        <f t="shared" si="5"/>
        <v>100000</v>
      </c>
      <c r="E8" s="35">
        <f t="shared" si="5"/>
        <v>100000</v>
      </c>
      <c r="F8" s="35">
        <f t="shared" si="5"/>
        <v>100000</v>
      </c>
      <c r="G8" s="35">
        <f t="shared" si="5"/>
        <v>100000</v>
      </c>
      <c r="H8" s="35">
        <f t="shared" si="5"/>
        <v>100000</v>
      </c>
      <c r="I8" s="35">
        <f t="shared" si="5"/>
        <v>100000</v>
      </c>
      <c r="J8" s="35">
        <f t="shared" si="5"/>
        <v>100000</v>
      </c>
      <c r="K8" s="35">
        <f t="shared" si="5"/>
        <v>100000</v>
      </c>
      <c r="L8" s="35">
        <f t="shared" si="5"/>
        <v>98148.148148148146</v>
      </c>
      <c r="M8" s="35">
        <f t="shared" si="5"/>
        <v>96296.296296296292</v>
      </c>
      <c r="N8" s="1143">
        <f>IF(M8=0,0,B5)</f>
        <v>100000</v>
      </c>
      <c r="O8" s="35">
        <f t="shared" ref="O8:Z8" si="6">IF(O31=0,0,IF(O31=1,$B$5,N12))</f>
        <v>94444.444444444438</v>
      </c>
      <c r="P8" s="35">
        <f t="shared" si="6"/>
        <v>92592.592592592584</v>
      </c>
      <c r="Q8" s="35">
        <f t="shared" si="6"/>
        <v>90740.74074074073</v>
      </c>
      <c r="R8" s="35">
        <f t="shared" si="6"/>
        <v>88888.888888888876</v>
      </c>
      <c r="S8" s="35">
        <f t="shared" si="6"/>
        <v>87037.037037037022</v>
      </c>
      <c r="T8" s="35">
        <f t="shared" si="6"/>
        <v>85185.185185185168</v>
      </c>
      <c r="U8" s="35">
        <f t="shared" si="6"/>
        <v>83333.333333333314</v>
      </c>
      <c r="V8" s="35">
        <f t="shared" si="6"/>
        <v>81481.48148148146</v>
      </c>
      <c r="W8" s="35">
        <f t="shared" si="6"/>
        <v>79629.629629629606</v>
      </c>
      <c r="X8" s="35">
        <f t="shared" si="6"/>
        <v>77777.777777777752</v>
      </c>
      <c r="Y8" s="35">
        <f t="shared" si="6"/>
        <v>75925.925925925898</v>
      </c>
      <c r="Z8" s="35">
        <f t="shared" si="6"/>
        <v>74074.074074074044</v>
      </c>
      <c r="AA8" s="1143">
        <f>+O8</f>
        <v>94444.444444444438</v>
      </c>
      <c r="AB8" s="34">
        <f>+N8</f>
        <v>100000</v>
      </c>
      <c r="AC8" s="34">
        <f>+AA8</f>
        <v>94444.444444444438</v>
      </c>
      <c r="AD8" s="34">
        <f>+N16</f>
        <v>72222.22222222219</v>
      </c>
      <c r="AE8" s="34">
        <f>+AA16</f>
        <v>49999.999999999942</v>
      </c>
      <c r="AF8" s="34">
        <f>+N24</f>
        <v>27777.777777777705</v>
      </c>
      <c r="AG8" s="34">
        <f>+AA24</f>
        <v>5555.5555555554893</v>
      </c>
      <c r="AH8" s="34">
        <f>+N49</f>
        <v>0</v>
      </c>
      <c r="AI8" s="34"/>
      <c r="AJ8" s="34"/>
      <c r="AK8" s="34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</row>
    <row r="9" spans="1:85" ht="18.75" customHeight="1" x14ac:dyDescent="0.2">
      <c r="A9" s="1142" t="s">
        <v>267</v>
      </c>
      <c r="B9" s="35">
        <f>IF(F5=1,0,(B8*$C$5/12))</f>
        <v>0</v>
      </c>
      <c r="C9" s="35">
        <f>IF(B31=0,0,(C8*$C$5/12))</f>
        <v>0</v>
      </c>
      <c r="D9" s="35">
        <f>IF(C31=0,0,(D8*$C$5/12))</f>
        <v>0</v>
      </c>
      <c r="E9" s="35">
        <f>IF(D31=0,0,(E8*$C$5/12))</f>
        <v>1000</v>
      </c>
      <c r="F9" s="35">
        <f t="shared" ref="F9:M9" si="7">IF(E31=0,0,(F8*$C$5/12))</f>
        <v>1000</v>
      </c>
      <c r="G9" s="35">
        <f t="shared" si="7"/>
        <v>1000</v>
      </c>
      <c r="H9" s="35">
        <f t="shared" si="7"/>
        <v>1000</v>
      </c>
      <c r="I9" s="35">
        <f t="shared" si="7"/>
        <v>1000</v>
      </c>
      <c r="J9" s="35">
        <f t="shared" si="7"/>
        <v>1000</v>
      </c>
      <c r="K9" s="35">
        <f t="shared" si="7"/>
        <v>1000</v>
      </c>
      <c r="L9" s="35">
        <f t="shared" si="7"/>
        <v>981.48148148148141</v>
      </c>
      <c r="M9" s="35">
        <f t="shared" si="7"/>
        <v>962.96296296296293</v>
      </c>
      <c r="N9" s="1143">
        <f>SUM(B9:M9)</f>
        <v>8944.4444444444453</v>
      </c>
      <c r="O9" s="35">
        <f>IF(M31=0,0,(O8*$C$5/12))</f>
        <v>944.44444444444434</v>
      </c>
      <c r="P9" s="35">
        <f t="shared" ref="P9:Z9" si="8">IF(O31=0,0,(P8*$C$5/12))</f>
        <v>925.92592592592575</v>
      </c>
      <c r="Q9" s="35">
        <f t="shared" si="8"/>
        <v>907.40740740740728</v>
      </c>
      <c r="R9" s="35">
        <f t="shared" si="8"/>
        <v>888.88888888888869</v>
      </c>
      <c r="S9" s="35">
        <f t="shared" si="8"/>
        <v>870.3703703703701</v>
      </c>
      <c r="T9" s="35">
        <f t="shared" si="8"/>
        <v>851.85185185185162</v>
      </c>
      <c r="U9" s="35">
        <f t="shared" si="8"/>
        <v>833.33333333333314</v>
      </c>
      <c r="V9" s="35">
        <f t="shared" si="8"/>
        <v>814.81481481481467</v>
      </c>
      <c r="W9" s="35">
        <f t="shared" si="8"/>
        <v>796.29629629629608</v>
      </c>
      <c r="X9" s="35">
        <f t="shared" si="8"/>
        <v>777.77777777777749</v>
      </c>
      <c r="Y9" s="35">
        <f t="shared" si="8"/>
        <v>759.25925925925901</v>
      </c>
      <c r="Z9" s="35">
        <f t="shared" si="8"/>
        <v>740.74074074074042</v>
      </c>
      <c r="AA9" s="1143">
        <f>SUM(O9:Z9)</f>
        <v>10111.111111111109</v>
      </c>
      <c r="AB9" s="34">
        <f>+N9</f>
        <v>8944.4444444444453</v>
      </c>
      <c r="AC9" s="34">
        <f>+AA9</f>
        <v>10111.111111111109</v>
      </c>
      <c r="AD9" s="34">
        <f>+N17</f>
        <v>7444.4444444444398</v>
      </c>
      <c r="AE9" s="34">
        <f>+AA17</f>
        <v>4777.7777777777683</v>
      </c>
      <c r="AF9" s="34">
        <f>+N25</f>
        <v>2111.1111111111031</v>
      </c>
      <c r="AG9" s="34">
        <f>+AA25</f>
        <v>111.11111111110911</v>
      </c>
      <c r="AH9" s="34">
        <f t="shared" ref="AH9:AH12" si="9">+N50</f>
        <v>0</v>
      </c>
      <c r="AI9" s="34"/>
      <c r="AJ9" s="34"/>
      <c r="AK9" s="34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</row>
    <row r="10" spans="1:85" ht="18.75" customHeight="1" x14ac:dyDescent="0.2">
      <c r="A10" s="1142" t="s">
        <v>44</v>
      </c>
      <c r="B10" s="35">
        <f t="shared" ref="B10:M10" si="10">IF(B8=0,0,IF(B30&lt;=$F$5+$D$5,0,$B$5/($E$5-$D$5)))</f>
        <v>0</v>
      </c>
      <c r="C10" s="35">
        <f t="shared" si="10"/>
        <v>0</v>
      </c>
      <c r="D10" s="35">
        <f t="shared" si="10"/>
        <v>0</v>
      </c>
      <c r="E10" s="35">
        <f t="shared" si="10"/>
        <v>0</v>
      </c>
      <c r="F10" s="35">
        <f t="shared" si="10"/>
        <v>0</v>
      </c>
      <c r="G10" s="35">
        <f t="shared" si="10"/>
        <v>0</v>
      </c>
      <c r="H10" s="35">
        <f t="shared" si="10"/>
        <v>0</v>
      </c>
      <c r="I10" s="35">
        <f t="shared" si="10"/>
        <v>0</v>
      </c>
      <c r="J10" s="35">
        <f t="shared" si="10"/>
        <v>0</v>
      </c>
      <c r="K10" s="35">
        <f t="shared" si="10"/>
        <v>1851.851851851852</v>
      </c>
      <c r="L10" s="35">
        <f t="shared" si="10"/>
        <v>1851.851851851852</v>
      </c>
      <c r="M10" s="35">
        <f t="shared" si="10"/>
        <v>1851.851851851852</v>
      </c>
      <c r="N10" s="1143">
        <f>SUM(B10:M10)</f>
        <v>5555.5555555555557</v>
      </c>
      <c r="O10" s="35">
        <f t="shared" ref="O10:Z10" si="11">IF(O8=0,0,IF(O30&lt;=$F$5+$D$5,0,$B$5/($E$5-$D$5)))</f>
        <v>1851.851851851852</v>
      </c>
      <c r="P10" s="35">
        <f t="shared" si="11"/>
        <v>1851.851851851852</v>
      </c>
      <c r="Q10" s="35">
        <f t="shared" si="11"/>
        <v>1851.851851851852</v>
      </c>
      <c r="R10" s="35">
        <f t="shared" si="11"/>
        <v>1851.851851851852</v>
      </c>
      <c r="S10" s="35">
        <f t="shared" si="11"/>
        <v>1851.851851851852</v>
      </c>
      <c r="T10" s="35">
        <f t="shared" si="11"/>
        <v>1851.851851851852</v>
      </c>
      <c r="U10" s="35">
        <f t="shared" si="11"/>
        <v>1851.851851851852</v>
      </c>
      <c r="V10" s="35">
        <f t="shared" si="11"/>
        <v>1851.851851851852</v>
      </c>
      <c r="W10" s="35">
        <f t="shared" si="11"/>
        <v>1851.851851851852</v>
      </c>
      <c r="X10" s="35">
        <f t="shared" si="11"/>
        <v>1851.851851851852</v>
      </c>
      <c r="Y10" s="35">
        <f t="shared" si="11"/>
        <v>1851.851851851852</v>
      </c>
      <c r="Z10" s="35">
        <f t="shared" si="11"/>
        <v>1851.851851851852</v>
      </c>
      <c r="AA10" s="1143">
        <f>SUM(O10:Z10)</f>
        <v>22222.222222222219</v>
      </c>
      <c r="AB10" s="34">
        <f>+N10</f>
        <v>5555.5555555555557</v>
      </c>
      <c r="AC10" s="34">
        <f>+AA10</f>
        <v>22222.222222222219</v>
      </c>
      <c r="AD10" s="34">
        <f>+N18</f>
        <v>22222.222222222219</v>
      </c>
      <c r="AE10" s="34">
        <f>+AA18</f>
        <v>22222.222222222219</v>
      </c>
      <c r="AF10" s="34">
        <f>+N26</f>
        <v>22222.222222222219</v>
      </c>
      <c r="AG10" s="34">
        <f>+AA26</f>
        <v>5555.5555555555557</v>
      </c>
      <c r="AH10" s="34">
        <f t="shared" si="9"/>
        <v>0</v>
      </c>
      <c r="AI10" s="34"/>
      <c r="AJ10" s="34"/>
      <c r="AK10" s="34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</row>
    <row r="11" spans="1:85" ht="18.75" customHeight="1" x14ac:dyDescent="0.2">
      <c r="A11" s="1142" t="s">
        <v>52</v>
      </c>
      <c r="B11" s="35">
        <f>+B9+B10</f>
        <v>0</v>
      </c>
      <c r="C11" s="35">
        <f>+C9+C10</f>
        <v>0</v>
      </c>
      <c r="D11" s="35">
        <f>+D9+D10</f>
        <v>0</v>
      </c>
      <c r="E11" s="35">
        <f>+E9+E10</f>
        <v>1000</v>
      </c>
      <c r="F11" s="35">
        <f>+F9+F10</f>
        <v>1000</v>
      </c>
      <c r="G11" s="35">
        <f t="shared" ref="G11:M11" si="12">+G9+G10</f>
        <v>1000</v>
      </c>
      <c r="H11" s="35">
        <f t="shared" si="12"/>
        <v>1000</v>
      </c>
      <c r="I11" s="35">
        <f t="shared" si="12"/>
        <v>1000</v>
      </c>
      <c r="J11" s="35">
        <f t="shared" si="12"/>
        <v>1000</v>
      </c>
      <c r="K11" s="35">
        <f t="shared" si="12"/>
        <v>2851.8518518518522</v>
      </c>
      <c r="L11" s="35">
        <f t="shared" si="12"/>
        <v>2833.3333333333335</v>
      </c>
      <c r="M11" s="35">
        <f t="shared" si="12"/>
        <v>2814.8148148148148</v>
      </c>
      <c r="N11" s="1143">
        <f>SUM(B11:M11)</f>
        <v>14500</v>
      </c>
      <c r="O11" s="35">
        <f t="shared" ref="O11:Z11" si="13">+O9+O10</f>
        <v>2796.2962962962965</v>
      </c>
      <c r="P11" s="35">
        <f t="shared" si="13"/>
        <v>2777.7777777777778</v>
      </c>
      <c r="Q11" s="35">
        <f t="shared" si="13"/>
        <v>2759.2592592592591</v>
      </c>
      <c r="R11" s="35">
        <f t="shared" si="13"/>
        <v>2740.7407407407409</v>
      </c>
      <c r="S11" s="35">
        <f t="shared" si="13"/>
        <v>2722.2222222222222</v>
      </c>
      <c r="T11" s="35">
        <f t="shared" si="13"/>
        <v>2703.7037037037035</v>
      </c>
      <c r="U11" s="35">
        <f t="shared" si="13"/>
        <v>2685.1851851851852</v>
      </c>
      <c r="V11" s="35">
        <f t="shared" si="13"/>
        <v>2666.6666666666665</v>
      </c>
      <c r="W11" s="35">
        <f t="shared" si="13"/>
        <v>2648.1481481481478</v>
      </c>
      <c r="X11" s="35">
        <f t="shared" si="13"/>
        <v>2629.6296296296296</v>
      </c>
      <c r="Y11" s="35">
        <f t="shared" si="13"/>
        <v>2611.1111111111109</v>
      </c>
      <c r="Z11" s="35">
        <f t="shared" si="13"/>
        <v>2592.5925925925922</v>
      </c>
      <c r="AA11" s="1143">
        <f>SUM(O11:Z11)</f>
        <v>32333.333333333328</v>
      </c>
      <c r="AB11" s="34">
        <f>+N11</f>
        <v>14500</v>
      </c>
      <c r="AC11" s="34">
        <f>+AA11</f>
        <v>32333.333333333328</v>
      </c>
      <c r="AD11" s="34">
        <f>+N19</f>
        <v>29666.666666666668</v>
      </c>
      <c r="AE11" s="34">
        <f>+AA19</f>
        <v>26999.999999999993</v>
      </c>
      <c r="AF11" s="34">
        <f>+N27</f>
        <v>24333.333333333332</v>
      </c>
      <c r="AG11" s="34">
        <f>+AA27</f>
        <v>5666.6666666666652</v>
      </c>
      <c r="AH11" s="34">
        <f t="shared" si="9"/>
        <v>0</v>
      </c>
      <c r="AI11" s="34"/>
      <c r="AJ11" s="34"/>
      <c r="AK11" s="34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9"/>
      <c r="CD11" s="39"/>
      <c r="CE11" s="39"/>
      <c r="CF11" s="39"/>
      <c r="CG11" s="39"/>
    </row>
    <row r="12" spans="1:85" ht="18.75" customHeight="1" x14ac:dyDescent="0.2">
      <c r="A12" s="1142" t="s">
        <v>45</v>
      </c>
      <c r="B12" s="35">
        <f t="shared" ref="B12:M12" si="14">IF(B8-B10&lt;=0.01,0,B8-B10)</f>
        <v>0</v>
      </c>
      <c r="C12" s="35">
        <f t="shared" si="14"/>
        <v>0</v>
      </c>
      <c r="D12" s="35">
        <f t="shared" si="14"/>
        <v>100000</v>
      </c>
      <c r="E12" s="35">
        <f t="shared" si="14"/>
        <v>100000</v>
      </c>
      <c r="F12" s="35">
        <f t="shared" si="14"/>
        <v>100000</v>
      </c>
      <c r="G12" s="35">
        <f t="shared" si="14"/>
        <v>100000</v>
      </c>
      <c r="H12" s="35">
        <f t="shared" si="14"/>
        <v>100000</v>
      </c>
      <c r="I12" s="35">
        <f t="shared" si="14"/>
        <v>100000</v>
      </c>
      <c r="J12" s="35">
        <f t="shared" si="14"/>
        <v>100000</v>
      </c>
      <c r="K12" s="35">
        <f t="shared" si="14"/>
        <v>98148.148148148146</v>
      </c>
      <c r="L12" s="35">
        <f t="shared" si="14"/>
        <v>96296.296296296292</v>
      </c>
      <c r="M12" s="35">
        <f t="shared" si="14"/>
        <v>94444.444444444438</v>
      </c>
      <c r="N12" s="1143">
        <f>+M12</f>
        <v>94444.444444444438</v>
      </c>
      <c r="O12" s="35">
        <f t="shared" ref="O12:Z12" si="15">IF(O8-O10&lt;=0.01,0,O8-O10)</f>
        <v>92592.592592592584</v>
      </c>
      <c r="P12" s="35">
        <f t="shared" si="15"/>
        <v>90740.74074074073</v>
      </c>
      <c r="Q12" s="35">
        <f t="shared" si="15"/>
        <v>88888.888888888876</v>
      </c>
      <c r="R12" s="35">
        <f t="shared" si="15"/>
        <v>87037.037037037022</v>
      </c>
      <c r="S12" s="35">
        <f t="shared" si="15"/>
        <v>85185.185185185168</v>
      </c>
      <c r="T12" s="35">
        <f t="shared" si="15"/>
        <v>83333.333333333314</v>
      </c>
      <c r="U12" s="35">
        <f t="shared" si="15"/>
        <v>81481.48148148146</v>
      </c>
      <c r="V12" s="35">
        <f t="shared" si="15"/>
        <v>79629.629629629606</v>
      </c>
      <c r="W12" s="35">
        <f t="shared" si="15"/>
        <v>77777.777777777752</v>
      </c>
      <c r="X12" s="35">
        <f t="shared" si="15"/>
        <v>75925.925925925898</v>
      </c>
      <c r="Y12" s="35">
        <f t="shared" si="15"/>
        <v>74074.074074074044</v>
      </c>
      <c r="Z12" s="35">
        <f t="shared" si="15"/>
        <v>72222.22222222219</v>
      </c>
      <c r="AA12" s="1143">
        <f>+Z12</f>
        <v>72222.22222222219</v>
      </c>
      <c r="AB12" s="34">
        <f>+N12</f>
        <v>94444.444444444438</v>
      </c>
      <c r="AC12" s="34">
        <f>+AA12</f>
        <v>72222.22222222219</v>
      </c>
      <c r="AD12" s="34">
        <f>+N20</f>
        <v>49999.999999999942</v>
      </c>
      <c r="AE12" s="34">
        <f>+AA20</f>
        <v>27777.777777777705</v>
      </c>
      <c r="AF12" s="34">
        <f>+N28</f>
        <v>5555.5555555554893</v>
      </c>
      <c r="AG12" s="34">
        <f>+AA28</f>
        <v>0</v>
      </c>
      <c r="AH12" s="34">
        <f t="shared" si="9"/>
        <v>0</v>
      </c>
      <c r="AI12" s="34"/>
      <c r="AJ12" s="34"/>
      <c r="AK12" s="34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39"/>
      <c r="AX12" s="39"/>
      <c r="AY12" s="39"/>
      <c r="AZ12" s="39"/>
      <c r="BA12" s="39"/>
      <c r="BB12" s="39"/>
      <c r="BC12" s="39"/>
      <c r="BD12" s="39"/>
      <c r="BE12" s="39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39"/>
      <c r="CA12" s="39"/>
      <c r="CB12" s="39"/>
      <c r="CC12" s="39"/>
      <c r="CD12" s="39"/>
      <c r="CE12" s="39"/>
      <c r="CF12" s="39"/>
      <c r="CG12" s="39"/>
    </row>
    <row r="13" spans="1:85" ht="18.75" customHeight="1" x14ac:dyDescent="0.2">
      <c r="A13" s="33"/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9"/>
      <c r="AM13" s="39"/>
      <c r="AN13" s="39"/>
      <c r="AO13" s="39"/>
      <c r="AP13" s="39"/>
      <c r="AQ13" s="39"/>
      <c r="AR13" s="39"/>
      <c r="AS13" s="39"/>
      <c r="AT13" s="39"/>
      <c r="AU13" s="39"/>
      <c r="AV13" s="39"/>
      <c r="AW13" s="39"/>
      <c r="AX13" s="39"/>
      <c r="AY13" s="39"/>
      <c r="AZ13" s="39"/>
      <c r="BA13" s="39"/>
      <c r="BB13" s="39"/>
      <c r="BC13" s="39"/>
      <c r="BD13" s="39"/>
      <c r="BE13" s="39"/>
      <c r="BF13" s="39"/>
      <c r="BG13" s="39"/>
      <c r="BH13" s="39"/>
      <c r="BI13" s="39"/>
      <c r="BJ13" s="39"/>
      <c r="BK13" s="39"/>
      <c r="BL13" s="39"/>
      <c r="BM13" s="39"/>
      <c r="BN13" s="39"/>
      <c r="BO13" s="39"/>
      <c r="BP13" s="39"/>
      <c r="BQ13" s="39"/>
      <c r="BR13" s="39"/>
      <c r="BS13" s="39"/>
      <c r="BT13" s="39"/>
      <c r="BU13" s="39"/>
      <c r="BV13" s="39"/>
      <c r="BW13" s="39"/>
      <c r="BX13" s="39"/>
      <c r="BY13" s="39"/>
      <c r="BZ13" s="39"/>
      <c r="CA13" s="39"/>
      <c r="CB13" s="39"/>
      <c r="CC13" s="39"/>
      <c r="CD13" s="39"/>
      <c r="CE13" s="39"/>
      <c r="CF13" s="39"/>
      <c r="CG13" s="39"/>
    </row>
    <row r="14" spans="1:85" ht="18.75" customHeight="1" x14ac:dyDescent="0.2">
      <c r="A14" s="1968"/>
      <c r="B14" s="1962">
        <f>+O6+1</f>
        <v>2019</v>
      </c>
      <c r="C14" s="1962"/>
      <c r="D14" s="1962"/>
      <c r="E14" s="1962"/>
      <c r="F14" s="1962"/>
      <c r="G14" s="1962"/>
      <c r="H14" s="1962"/>
      <c r="I14" s="1962"/>
      <c r="J14" s="1962"/>
      <c r="K14" s="1962"/>
      <c r="L14" s="1962"/>
      <c r="M14" s="1962"/>
      <c r="N14" s="1963" t="s">
        <v>151</v>
      </c>
      <c r="O14" s="1962">
        <f>+B14+1</f>
        <v>2020</v>
      </c>
      <c r="P14" s="1962"/>
      <c r="Q14" s="1962"/>
      <c r="R14" s="1962"/>
      <c r="S14" s="1962"/>
      <c r="T14" s="1962"/>
      <c r="U14" s="1962"/>
      <c r="V14" s="1962"/>
      <c r="W14" s="1962"/>
      <c r="X14" s="1962"/>
      <c r="Y14" s="1962"/>
      <c r="Z14" s="1962"/>
      <c r="AA14" s="1963" t="s">
        <v>152</v>
      </c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9"/>
      <c r="AM14" s="39"/>
      <c r="AN14" s="39"/>
      <c r="AO14" s="39"/>
      <c r="AP14" s="39"/>
      <c r="AQ14" s="39"/>
      <c r="AR14" s="39"/>
      <c r="AS14" s="39"/>
      <c r="AT14" s="39"/>
      <c r="AU14" s="39"/>
      <c r="AV14" s="39"/>
      <c r="AW14" s="39"/>
      <c r="AX14" s="39"/>
      <c r="AY14" s="39"/>
      <c r="AZ14" s="39"/>
      <c r="BA14" s="39"/>
      <c r="BB14" s="39"/>
      <c r="BC14" s="39"/>
      <c r="BD14" s="39"/>
      <c r="BE14" s="39"/>
      <c r="BF14" s="39"/>
      <c r="BG14" s="39"/>
      <c r="BH14" s="39"/>
      <c r="BI14" s="39"/>
      <c r="BJ14" s="39"/>
      <c r="BK14" s="39"/>
      <c r="BL14" s="39"/>
      <c r="BM14" s="39"/>
      <c r="BN14" s="39"/>
      <c r="BO14" s="39"/>
      <c r="BP14" s="39"/>
      <c r="BQ14" s="39"/>
      <c r="BR14" s="39"/>
      <c r="BS14" s="39"/>
      <c r="BT14" s="39"/>
      <c r="BU14" s="39"/>
      <c r="BV14" s="39"/>
      <c r="BW14" s="39"/>
      <c r="BX14" s="39"/>
      <c r="BY14" s="39"/>
      <c r="BZ14" s="39"/>
      <c r="CA14" s="39"/>
      <c r="CB14" s="39"/>
      <c r="CC14" s="39"/>
      <c r="CD14" s="39"/>
      <c r="CE14" s="39"/>
      <c r="CF14" s="39"/>
      <c r="CG14" s="39"/>
    </row>
    <row r="15" spans="1:85" ht="18.75" customHeight="1" x14ac:dyDescent="0.2">
      <c r="A15" s="1968"/>
      <c r="B15" s="1141" t="str">
        <f t="shared" ref="B15:M15" si="16">+B7</f>
        <v>Ene</v>
      </c>
      <c r="C15" s="1141" t="str">
        <f t="shared" si="16"/>
        <v>Feb</v>
      </c>
      <c r="D15" s="1141" t="str">
        <f t="shared" si="16"/>
        <v>Mar</v>
      </c>
      <c r="E15" s="1141" t="str">
        <f t="shared" si="16"/>
        <v>Abr</v>
      </c>
      <c r="F15" s="1141" t="str">
        <f t="shared" si="16"/>
        <v>May</v>
      </c>
      <c r="G15" s="1141" t="str">
        <f t="shared" si="16"/>
        <v>Jun</v>
      </c>
      <c r="H15" s="1141" t="str">
        <f t="shared" si="16"/>
        <v>Jul</v>
      </c>
      <c r="I15" s="1141" t="str">
        <f t="shared" si="16"/>
        <v>Ago</v>
      </c>
      <c r="J15" s="1141" t="str">
        <f t="shared" si="16"/>
        <v>Sep</v>
      </c>
      <c r="K15" s="1141" t="str">
        <f t="shared" si="16"/>
        <v>Oct</v>
      </c>
      <c r="L15" s="1141" t="str">
        <f t="shared" si="16"/>
        <v>Nov</v>
      </c>
      <c r="M15" s="1141" t="str">
        <f t="shared" si="16"/>
        <v>Dic</v>
      </c>
      <c r="N15" s="1963"/>
      <c r="O15" s="1141" t="str">
        <f t="shared" ref="O15:Z15" si="17">+O7</f>
        <v>Ene</v>
      </c>
      <c r="P15" s="1141" t="str">
        <f t="shared" si="17"/>
        <v>Feb</v>
      </c>
      <c r="Q15" s="1141" t="str">
        <f t="shared" si="17"/>
        <v>Mar</v>
      </c>
      <c r="R15" s="1141" t="str">
        <f t="shared" si="17"/>
        <v>Abr</v>
      </c>
      <c r="S15" s="1141" t="str">
        <f t="shared" si="17"/>
        <v>May</v>
      </c>
      <c r="T15" s="1141" t="str">
        <f t="shared" si="17"/>
        <v>Jun</v>
      </c>
      <c r="U15" s="1141" t="str">
        <f t="shared" si="17"/>
        <v>Jul</v>
      </c>
      <c r="V15" s="1141" t="str">
        <f t="shared" si="17"/>
        <v>Ago</v>
      </c>
      <c r="W15" s="1141" t="str">
        <f t="shared" si="17"/>
        <v>Sep</v>
      </c>
      <c r="X15" s="1141" t="str">
        <f t="shared" si="17"/>
        <v>Oct</v>
      </c>
      <c r="Y15" s="1141" t="str">
        <f t="shared" si="17"/>
        <v>Nov</v>
      </c>
      <c r="Z15" s="1141" t="str">
        <f t="shared" si="17"/>
        <v>Dic</v>
      </c>
      <c r="AA15" s="196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39"/>
      <c r="AZ15" s="39"/>
      <c r="BA15" s="39"/>
      <c r="BB15" s="39"/>
      <c r="BC15" s="39"/>
      <c r="BD15" s="39"/>
      <c r="BE15" s="39"/>
      <c r="BF15" s="39"/>
      <c r="BG15" s="39"/>
      <c r="BH15" s="39"/>
      <c r="BI15" s="39"/>
      <c r="BJ15" s="39"/>
      <c r="BK15" s="39"/>
      <c r="BL15" s="39"/>
      <c r="BM15" s="39"/>
      <c r="BN15" s="39"/>
      <c r="BO15" s="39"/>
      <c r="BP15" s="39"/>
      <c r="BQ15" s="39"/>
      <c r="BR15" s="39"/>
      <c r="BS15" s="39"/>
      <c r="BT15" s="39"/>
      <c r="BU15" s="39"/>
      <c r="BV15" s="39"/>
      <c r="BW15" s="39"/>
      <c r="BX15" s="39"/>
      <c r="BY15" s="39"/>
      <c r="BZ15" s="39"/>
      <c r="CA15" s="39"/>
      <c r="CB15" s="39"/>
      <c r="CC15" s="39"/>
      <c r="CD15" s="39"/>
      <c r="CE15" s="39"/>
      <c r="CF15" s="39"/>
      <c r="CG15" s="39"/>
    </row>
    <row r="16" spans="1:85" ht="18.75" customHeight="1" x14ac:dyDescent="0.2">
      <c r="A16" s="1142" t="s">
        <v>43</v>
      </c>
      <c r="B16" s="35">
        <f>IF(Z31=0,0,IF(B34=1,$B$5,Z12))</f>
        <v>72222.22222222219</v>
      </c>
      <c r="C16" s="35">
        <f t="shared" ref="C16:M16" si="18">IF(C34=0,0,IF(C34=1,$B$5,B20))</f>
        <v>70370.370370370336</v>
      </c>
      <c r="D16" s="35">
        <f t="shared" si="18"/>
        <v>68518.518518518482</v>
      </c>
      <c r="E16" s="35">
        <f t="shared" si="18"/>
        <v>66666.666666666628</v>
      </c>
      <c r="F16" s="35">
        <f t="shared" si="18"/>
        <v>64814.814814814774</v>
      </c>
      <c r="G16" s="35">
        <f t="shared" si="18"/>
        <v>62962.96296296292</v>
      </c>
      <c r="H16" s="35">
        <f t="shared" si="18"/>
        <v>61111.111111111066</v>
      </c>
      <c r="I16" s="35">
        <f t="shared" si="18"/>
        <v>59259.259259259212</v>
      </c>
      <c r="J16" s="35">
        <f t="shared" si="18"/>
        <v>57407.407407407358</v>
      </c>
      <c r="K16" s="35">
        <f t="shared" si="18"/>
        <v>55555.555555555504</v>
      </c>
      <c r="L16" s="35">
        <f t="shared" si="18"/>
        <v>53703.70370370365</v>
      </c>
      <c r="M16" s="35">
        <f t="shared" si="18"/>
        <v>51851.851851851796</v>
      </c>
      <c r="N16" s="1143">
        <f>+B16</f>
        <v>72222.22222222219</v>
      </c>
      <c r="O16" s="35">
        <f>IF(O34=0,0,IF(O34=1,$B$5,M20))</f>
        <v>49999.999999999942</v>
      </c>
      <c r="P16" s="35">
        <f t="shared" ref="P16:Z16" si="19">IF(P34=0,0,IF(P34=1,$B$5,O20))</f>
        <v>48148.148148148088</v>
      </c>
      <c r="Q16" s="35">
        <f t="shared" si="19"/>
        <v>46296.296296296234</v>
      </c>
      <c r="R16" s="35">
        <f t="shared" si="19"/>
        <v>44444.44444444438</v>
      </c>
      <c r="S16" s="35">
        <f t="shared" si="19"/>
        <v>42592.592592592526</v>
      </c>
      <c r="T16" s="35">
        <f t="shared" si="19"/>
        <v>40740.740740740672</v>
      </c>
      <c r="U16" s="35">
        <f t="shared" si="19"/>
        <v>38888.888888888818</v>
      </c>
      <c r="V16" s="35">
        <f t="shared" si="19"/>
        <v>37037.037037036964</v>
      </c>
      <c r="W16" s="35">
        <f t="shared" si="19"/>
        <v>35185.18518518511</v>
      </c>
      <c r="X16" s="35">
        <f t="shared" si="19"/>
        <v>33333.333333333256</v>
      </c>
      <c r="Y16" s="35">
        <f t="shared" si="19"/>
        <v>31481.481481481405</v>
      </c>
      <c r="Z16" s="35">
        <f t="shared" si="19"/>
        <v>29629.629629629555</v>
      </c>
      <c r="AA16" s="1143">
        <f>+O16</f>
        <v>49999.999999999942</v>
      </c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9"/>
      <c r="AM16" s="39"/>
      <c r="AN16" s="39"/>
      <c r="AO16" s="39"/>
      <c r="AP16" s="39"/>
      <c r="AQ16" s="39"/>
      <c r="AR16" s="39"/>
      <c r="AS16" s="39"/>
      <c r="AT16" s="39"/>
      <c r="AU16" s="39"/>
      <c r="AV16" s="39"/>
      <c r="AW16" s="39"/>
      <c r="AX16" s="39"/>
      <c r="AY16" s="39"/>
      <c r="AZ16" s="39"/>
      <c r="BA16" s="39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9"/>
      <c r="BT16" s="39"/>
      <c r="BU16" s="39"/>
      <c r="BV16" s="39"/>
      <c r="BW16" s="39"/>
      <c r="BX16" s="39"/>
      <c r="BY16" s="39"/>
      <c r="BZ16" s="39"/>
      <c r="CA16" s="39"/>
      <c r="CB16" s="39"/>
      <c r="CC16" s="39"/>
      <c r="CD16" s="39"/>
      <c r="CE16" s="39"/>
      <c r="CF16" s="39"/>
      <c r="CG16" s="39"/>
    </row>
    <row r="17" spans="1:85" ht="18.75" customHeight="1" x14ac:dyDescent="0.2">
      <c r="A17" s="1142" t="s">
        <v>267</v>
      </c>
      <c r="B17" s="35">
        <f>IF(Z31=0,0,(B16*$C$5/12))</f>
        <v>722.22222222222183</v>
      </c>
      <c r="C17" s="35">
        <f t="shared" ref="C17:M17" si="20">IF(B34=0,0,(C16*$C$5/12))</f>
        <v>703.70370370370335</v>
      </c>
      <c r="D17" s="35">
        <f t="shared" si="20"/>
        <v>685.18518518518476</v>
      </c>
      <c r="E17" s="35">
        <f t="shared" si="20"/>
        <v>666.66666666666629</v>
      </c>
      <c r="F17" s="35">
        <f t="shared" si="20"/>
        <v>648.1481481481477</v>
      </c>
      <c r="G17" s="35">
        <f t="shared" si="20"/>
        <v>629.62962962962922</v>
      </c>
      <c r="H17" s="35">
        <f t="shared" si="20"/>
        <v>611.11111111111063</v>
      </c>
      <c r="I17" s="35">
        <f t="shared" si="20"/>
        <v>592.59259259259204</v>
      </c>
      <c r="J17" s="35">
        <f t="shared" si="20"/>
        <v>574.07407407407356</v>
      </c>
      <c r="K17" s="35">
        <f t="shared" si="20"/>
        <v>555.55555555555509</v>
      </c>
      <c r="L17" s="35">
        <f t="shared" si="20"/>
        <v>537.0370370370365</v>
      </c>
      <c r="M17" s="35">
        <f t="shared" si="20"/>
        <v>518.51851851851791</v>
      </c>
      <c r="N17" s="1143">
        <f>SUM(B17:M17)</f>
        <v>7444.4444444444398</v>
      </c>
      <c r="O17" s="35">
        <f>IF(M34=0,0,(O16*$C$5/12))</f>
        <v>499.99999999999937</v>
      </c>
      <c r="P17" s="35">
        <f t="shared" ref="P17:Z17" si="21">IF(O34=0,0,(P16*$C$5/12))</f>
        <v>481.48148148148084</v>
      </c>
      <c r="Q17" s="35">
        <f t="shared" si="21"/>
        <v>462.96296296296231</v>
      </c>
      <c r="R17" s="35">
        <f t="shared" si="21"/>
        <v>444.44444444444383</v>
      </c>
      <c r="S17" s="35">
        <f t="shared" si="21"/>
        <v>425.92592592592524</v>
      </c>
      <c r="T17" s="35">
        <f t="shared" si="21"/>
        <v>407.40740740740671</v>
      </c>
      <c r="U17" s="35">
        <f t="shared" si="21"/>
        <v>388.88888888888818</v>
      </c>
      <c r="V17" s="35">
        <f t="shared" si="21"/>
        <v>370.37037037036959</v>
      </c>
      <c r="W17" s="35">
        <f t="shared" si="21"/>
        <v>351.85185185185105</v>
      </c>
      <c r="X17" s="35">
        <f t="shared" si="21"/>
        <v>333.33333333333252</v>
      </c>
      <c r="Y17" s="35">
        <f t="shared" si="21"/>
        <v>314.81481481481404</v>
      </c>
      <c r="Z17" s="35">
        <f t="shared" si="21"/>
        <v>296.29629629629557</v>
      </c>
      <c r="AA17" s="1143">
        <f>SUM(O17:Z17)</f>
        <v>4777.7777777777683</v>
      </c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39"/>
      <c r="BL17" s="39"/>
      <c r="BM17" s="39"/>
      <c r="BN17" s="39"/>
      <c r="BO17" s="39"/>
      <c r="BP17" s="39"/>
      <c r="BQ17" s="39"/>
      <c r="BR17" s="39"/>
      <c r="BS17" s="39"/>
      <c r="BT17" s="39"/>
      <c r="BU17" s="39"/>
      <c r="BV17" s="39"/>
      <c r="BW17" s="39"/>
      <c r="BX17" s="39"/>
      <c r="BY17" s="39"/>
      <c r="BZ17" s="39"/>
      <c r="CA17" s="39"/>
      <c r="CB17" s="39"/>
      <c r="CC17" s="39"/>
      <c r="CD17" s="39"/>
      <c r="CE17" s="39"/>
      <c r="CF17" s="39"/>
      <c r="CG17" s="39"/>
    </row>
    <row r="18" spans="1:85" ht="18.75" customHeight="1" x14ac:dyDescent="0.2">
      <c r="A18" s="1142" t="str">
        <f>+A10</f>
        <v>Amortización</v>
      </c>
      <c r="B18" s="35">
        <f t="shared" ref="B18:M18" si="22">IF(B16=0,0,IF(B33&lt;=$F$5+$D$5,0,$B$5/($E$5-$D$5)))</f>
        <v>1851.851851851852</v>
      </c>
      <c r="C18" s="35">
        <f t="shared" si="22"/>
        <v>1851.851851851852</v>
      </c>
      <c r="D18" s="35">
        <f t="shared" si="22"/>
        <v>1851.851851851852</v>
      </c>
      <c r="E18" s="35">
        <f t="shared" si="22"/>
        <v>1851.851851851852</v>
      </c>
      <c r="F18" s="35">
        <f t="shared" si="22"/>
        <v>1851.851851851852</v>
      </c>
      <c r="G18" s="35">
        <f t="shared" si="22"/>
        <v>1851.851851851852</v>
      </c>
      <c r="H18" s="35">
        <f t="shared" si="22"/>
        <v>1851.851851851852</v>
      </c>
      <c r="I18" s="35">
        <f t="shared" si="22"/>
        <v>1851.851851851852</v>
      </c>
      <c r="J18" s="35">
        <f t="shared" si="22"/>
        <v>1851.851851851852</v>
      </c>
      <c r="K18" s="35">
        <f t="shared" si="22"/>
        <v>1851.851851851852</v>
      </c>
      <c r="L18" s="35">
        <f t="shared" si="22"/>
        <v>1851.851851851852</v>
      </c>
      <c r="M18" s="35">
        <f t="shared" si="22"/>
        <v>1851.851851851852</v>
      </c>
      <c r="N18" s="1143">
        <f>SUM(B18:M18)</f>
        <v>22222.222222222219</v>
      </c>
      <c r="O18" s="35">
        <f t="shared" ref="O18:Z18" si="23">IF(O16=0,0,IF(O33&lt;=$F$5+$D$5,0,$B$5/($E$5-$D$5)))</f>
        <v>1851.851851851852</v>
      </c>
      <c r="P18" s="35">
        <f t="shared" si="23"/>
        <v>1851.851851851852</v>
      </c>
      <c r="Q18" s="35">
        <f t="shared" si="23"/>
        <v>1851.851851851852</v>
      </c>
      <c r="R18" s="35">
        <f t="shared" si="23"/>
        <v>1851.851851851852</v>
      </c>
      <c r="S18" s="35">
        <f t="shared" si="23"/>
        <v>1851.851851851852</v>
      </c>
      <c r="T18" s="35">
        <f t="shared" si="23"/>
        <v>1851.851851851852</v>
      </c>
      <c r="U18" s="35">
        <f t="shared" si="23"/>
        <v>1851.851851851852</v>
      </c>
      <c r="V18" s="35">
        <f t="shared" si="23"/>
        <v>1851.851851851852</v>
      </c>
      <c r="W18" s="35">
        <f t="shared" si="23"/>
        <v>1851.851851851852</v>
      </c>
      <c r="X18" s="35">
        <f t="shared" si="23"/>
        <v>1851.851851851852</v>
      </c>
      <c r="Y18" s="35">
        <f t="shared" si="23"/>
        <v>1851.851851851852</v>
      </c>
      <c r="Z18" s="35">
        <f t="shared" si="23"/>
        <v>1851.851851851852</v>
      </c>
      <c r="AA18" s="1143">
        <f>SUM(O18:Z18)</f>
        <v>22222.222222222219</v>
      </c>
      <c r="AB18" s="33"/>
      <c r="AC18" s="33"/>
      <c r="AD18" s="33"/>
      <c r="AE18" s="33"/>
      <c r="AF18" s="33"/>
      <c r="AG18" s="33"/>
      <c r="AH18" s="33"/>
      <c r="AI18" s="33"/>
      <c r="AJ18" s="33"/>
      <c r="AK18" s="33"/>
      <c r="AL18" s="39"/>
      <c r="AM18" s="39"/>
      <c r="AN18" s="39"/>
      <c r="AO18" s="39"/>
      <c r="AP18" s="39"/>
      <c r="AQ18" s="39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</row>
    <row r="19" spans="1:85" ht="18.75" customHeight="1" x14ac:dyDescent="0.2">
      <c r="A19" s="1142" t="s">
        <v>52</v>
      </c>
      <c r="B19" s="35">
        <f t="shared" ref="B19:M19" si="24">+B17+B18</f>
        <v>2574.0740740740739</v>
      </c>
      <c r="C19" s="35">
        <f t="shared" si="24"/>
        <v>2555.5555555555552</v>
      </c>
      <c r="D19" s="35">
        <f t="shared" si="24"/>
        <v>2537.0370370370365</v>
      </c>
      <c r="E19" s="35">
        <f t="shared" si="24"/>
        <v>2518.5185185185182</v>
      </c>
      <c r="F19" s="35">
        <f t="shared" si="24"/>
        <v>2499.9999999999995</v>
      </c>
      <c r="G19" s="35">
        <f t="shared" si="24"/>
        <v>2481.4814814814813</v>
      </c>
      <c r="H19" s="35">
        <f t="shared" si="24"/>
        <v>2462.9629629629626</v>
      </c>
      <c r="I19" s="35">
        <f t="shared" si="24"/>
        <v>2444.4444444444439</v>
      </c>
      <c r="J19" s="35">
        <f t="shared" si="24"/>
        <v>2425.9259259259256</v>
      </c>
      <c r="K19" s="35">
        <f t="shared" si="24"/>
        <v>2407.4074074074069</v>
      </c>
      <c r="L19" s="35">
        <f t="shared" si="24"/>
        <v>2388.8888888888887</v>
      </c>
      <c r="M19" s="35">
        <f t="shared" si="24"/>
        <v>2370.37037037037</v>
      </c>
      <c r="N19" s="1143">
        <f>SUM(B19:M19)</f>
        <v>29666.666666666668</v>
      </c>
      <c r="O19" s="35">
        <f t="shared" ref="O19:Z19" si="25">+O17+O18</f>
        <v>2351.8518518518513</v>
      </c>
      <c r="P19" s="35">
        <f t="shared" si="25"/>
        <v>2333.333333333333</v>
      </c>
      <c r="Q19" s="35">
        <f t="shared" si="25"/>
        <v>2314.8148148148143</v>
      </c>
      <c r="R19" s="35">
        <f t="shared" si="25"/>
        <v>2296.2962962962956</v>
      </c>
      <c r="S19" s="35">
        <f t="shared" si="25"/>
        <v>2277.7777777777774</v>
      </c>
      <c r="T19" s="35">
        <f t="shared" si="25"/>
        <v>2259.2592592592587</v>
      </c>
      <c r="U19" s="35">
        <f t="shared" si="25"/>
        <v>2240.74074074074</v>
      </c>
      <c r="V19" s="35">
        <f t="shared" si="25"/>
        <v>2222.2222222222217</v>
      </c>
      <c r="W19" s="35">
        <f t="shared" si="25"/>
        <v>2203.703703703703</v>
      </c>
      <c r="X19" s="35">
        <f t="shared" si="25"/>
        <v>2185.1851851851843</v>
      </c>
      <c r="Y19" s="35">
        <f t="shared" si="25"/>
        <v>2166.6666666666661</v>
      </c>
      <c r="Z19" s="35">
        <f t="shared" si="25"/>
        <v>2148.1481481481474</v>
      </c>
      <c r="AA19" s="1143">
        <f>SUM(O19:Z19)</f>
        <v>26999.999999999993</v>
      </c>
      <c r="AB19" s="33"/>
      <c r="AC19" s="33"/>
      <c r="AD19" s="33"/>
      <c r="AE19" s="33"/>
      <c r="AF19" s="33"/>
      <c r="AG19" s="33"/>
      <c r="AH19" s="33"/>
      <c r="AI19" s="33"/>
      <c r="AJ19" s="33"/>
      <c r="AK19" s="33"/>
      <c r="AL19" s="39"/>
      <c r="AM19" s="39"/>
      <c r="AN19" s="39"/>
      <c r="AO19" s="39"/>
      <c r="AP19" s="39"/>
      <c r="AQ19" s="39"/>
      <c r="AR19" s="39"/>
      <c r="AS19" s="39"/>
      <c r="AT19" s="39"/>
      <c r="AU19" s="39"/>
      <c r="AV19" s="39"/>
      <c r="AW19" s="39"/>
      <c r="AX19" s="39"/>
      <c r="AY19" s="39"/>
      <c r="AZ19" s="39"/>
      <c r="BA19" s="39"/>
      <c r="BB19" s="39"/>
      <c r="BC19" s="39"/>
      <c r="BD19" s="39"/>
      <c r="BE19" s="39"/>
      <c r="BF19" s="39"/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39"/>
      <c r="BR19" s="39"/>
      <c r="BS19" s="39"/>
      <c r="BT19" s="39"/>
      <c r="BU19" s="39"/>
      <c r="BV19" s="39"/>
      <c r="BW19" s="39"/>
      <c r="BX19" s="39"/>
      <c r="BY19" s="39"/>
      <c r="BZ19" s="39"/>
      <c r="CA19" s="39"/>
      <c r="CB19" s="39"/>
      <c r="CC19" s="39"/>
      <c r="CD19" s="39"/>
      <c r="CE19" s="39"/>
      <c r="CF19" s="39"/>
      <c r="CG19" s="39"/>
    </row>
    <row r="20" spans="1:85" ht="18.75" customHeight="1" x14ac:dyDescent="0.2">
      <c r="A20" s="1142" t="s">
        <v>45</v>
      </c>
      <c r="B20" s="35">
        <f t="shared" ref="B20:M20" si="26">IF(B16-B18&lt;=0.01,0,B16-B18)</f>
        <v>70370.370370370336</v>
      </c>
      <c r="C20" s="35">
        <f t="shared" si="26"/>
        <v>68518.518518518482</v>
      </c>
      <c r="D20" s="35">
        <f t="shared" si="26"/>
        <v>66666.666666666628</v>
      </c>
      <c r="E20" s="35">
        <f t="shared" si="26"/>
        <v>64814.814814814774</v>
      </c>
      <c r="F20" s="35">
        <f t="shared" si="26"/>
        <v>62962.96296296292</v>
      </c>
      <c r="G20" s="35">
        <f t="shared" si="26"/>
        <v>61111.111111111066</v>
      </c>
      <c r="H20" s="35">
        <f t="shared" si="26"/>
        <v>59259.259259259212</v>
      </c>
      <c r="I20" s="35">
        <f t="shared" si="26"/>
        <v>57407.407407407358</v>
      </c>
      <c r="J20" s="35">
        <f t="shared" si="26"/>
        <v>55555.555555555504</v>
      </c>
      <c r="K20" s="35">
        <f t="shared" si="26"/>
        <v>53703.70370370365</v>
      </c>
      <c r="L20" s="35">
        <f t="shared" si="26"/>
        <v>51851.851851851796</v>
      </c>
      <c r="M20" s="35">
        <f t="shared" si="26"/>
        <v>49999.999999999942</v>
      </c>
      <c r="N20" s="1143">
        <f>+M20</f>
        <v>49999.999999999942</v>
      </c>
      <c r="O20" s="35">
        <f t="shared" ref="O20:Z20" si="27">IF(O16-O18&lt;=0.01,0,O16-O18)</f>
        <v>48148.148148148088</v>
      </c>
      <c r="P20" s="35">
        <f t="shared" si="27"/>
        <v>46296.296296296234</v>
      </c>
      <c r="Q20" s="35">
        <f t="shared" si="27"/>
        <v>44444.44444444438</v>
      </c>
      <c r="R20" s="35">
        <f t="shared" si="27"/>
        <v>42592.592592592526</v>
      </c>
      <c r="S20" s="35">
        <f t="shared" si="27"/>
        <v>40740.740740740672</v>
      </c>
      <c r="T20" s="35">
        <f t="shared" si="27"/>
        <v>38888.888888888818</v>
      </c>
      <c r="U20" s="35">
        <f t="shared" si="27"/>
        <v>37037.037037036964</v>
      </c>
      <c r="V20" s="35">
        <f t="shared" si="27"/>
        <v>35185.18518518511</v>
      </c>
      <c r="W20" s="35">
        <f t="shared" si="27"/>
        <v>33333.333333333256</v>
      </c>
      <c r="X20" s="35">
        <f t="shared" si="27"/>
        <v>31481.481481481405</v>
      </c>
      <c r="Y20" s="35">
        <f t="shared" si="27"/>
        <v>29629.629629629555</v>
      </c>
      <c r="Z20" s="35">
        <f t="shared" si="27"/>
        <v>27777.777777777705</v>
      </c>
      <c r="AA20" s="1143">
        <f>+Z20</f>
        <v>27777.777777777705</v>
      </c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9"/>
      <c r="AM20" s="39"/>
      <c r="AN20" s="39"/>
      <c r="AO20" s="39"/>
      <c r="AP20" s="39"/>
      <c r="AQ20" s="39"/>
      <c r="AR20" s="39"/>
      <c r="AS20" s="39"/>
      <c r="AT20" s="39"/>
      <c r="AU20" s="39"/>
      <c r="AV20" s="39"/>
      <c r="AW20" s="39"/>
      <c r="AX20" s="39"/>
      <c r="AY20" s="39"/>
      <c r="AZ20" s="39"/>
      <c r="BA20" s="39"/>
      <c r="BB20" s="39"/>
      <c r="BC20" s="39"/>
      <c r="BD20" s="39"/>
      <c r="BE20" s="39"/>
      <c r="BF20" s="39"/>
      <c r="BG20" s="39"/>
      <c r="BH20" s="39"/>
      <c r="BI20" s="39"/>
      <c r="BJ20" s="39"/>
      <c r="BK20" s="39"/>
      <c r="BL20" s="39"/>
      <c r="BM20" s="39"/>
      <c r="BN20" s="39"/>
      <c r="BO20" s="39"/>
      <c r="BP20" s="39"/>
      <c r="BQ20" s="39"/>
      <c r="BR20" s="39"/>
      <c r="BS20" s="39"/>
      <c r="BT20" s="39"/>
      <c r="BU20" s="39"/>
      <c r="BV20" s="39"/>
      <c r="BW20" s="39"/>
      <c r="BX20" s="39"/>
      <c r="BY20" s="39"/>
      <c r="BZ20" s="39"/>
      <c r="CA20" s="39"/>
      <c r="CB20" s="39"/>
      <c r="CC20" s="39"/>
      <c r="CD20" s="39"/>
      <c r="CE20" s="39"/>
      <c r="CF20" s="39"/>
      <c r="CG20" s="39"/>
    </row>
    <row r="21" spans="1:85" ht="18.75" customHeight="1" x14ac:dyDescent="0.2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9"/>
      <c r="AM21" s="39"/>
      <c r="AN21" s="39"/>
      <c r="AO21" s="39"/>
      <c r="AP21" s="39"/>
      <c r="AQ21" s="39"/>
      <c r="AR21" s="39"/>
      <c r="AS21" s="39"/>
      <c r="AT21" s="39"/>
      <c r="AU21" s="39"/>
      <c r="AV21" s="39"/>
      <c r="AW21" s="39"/>
      <c r="AX21" s="39"/>
      <c r="AY21" s="39"/>
      <c r="AZ21" s="39"/>
      <c r="BA21" s="39"/>
      <c r="BB21" s="39"/>
      <c r="BC21" s="39"/>
      <c r="BD21" s="39"/>
      <c r="BE21" s="39"/>
      <c r="BF21" s="39"/>
      <c r="BG21" s="39"/>
      <c r="BH21" s="39"/>
      <c r="BI21" s="39"/>
      <c r="BJ21" s="39"/>
      <c r="BK21" s="39"/>
      <c r="BL21" s="39"/>
      <c r="BM21" s="39"/>
      <c r="BN21" s="39"/>
      <c r="BO21" s="39"/>
      <c r="BP21" s="39"/>
      <c r="BQ21" s="39"/>
      <c r="BR21" s="39"/>
      <c r="BS21" s="39"/>
      <c r="BT21" s="39"/>
      <c r="BU21" s="39"/>
      <c r="BV21" s="39"/>
      <c r="BW21" s="39"/>
      <c r="BX21" s="39"/>
      <c r="BY21" s="39"/>
      <c r="BZ21" s="39"/>
      <c r="CA21" s="39"/>
      <c r="CB21" s="39"/>
      <c r="CC21" s="39"/>
      <c r="CD21" s="39"/>
      <c r="CE21" s="39"/>
      <c r="CF21" s="39"/>
      <c r="CG21" s="39"/>
    </row>
    <row r="22" spans="1:85" ht="18.75" customHeight="1" x14ac:dyDescent="0.2">
      <c r="A22" s="33"/>
      <c r="B22" s="1967">
        <f>+O14+1</f>
        <v>2021</v>
      </c>
      <c r="C22" s="1967"/>
      <c r="D22" s="1967"/>
      <c r="E22" s="1967"/>
      <c r="F22" s="1967"/>
      <c r="G22" s="1967"/>
      <c r="H22" s="1967"/>
      <c r="I22" s="1967"/>
      <c r="J22" s="1967"/>
      <c r="K22" s="1967"/>
      <c r="L22" s="1967"/>
      <c r="M22" s="1967"/>
      <c r="N22" s="1963" t="s">
        <v>153</v>
      </c>
      <c r="O22" s="1962">
        <f>+B22+1</f>
        <v>2022</v>
      </c>
      <c r="P22" s="1962"/>
      <c r="Q22" s="1962"/>
      <c r="R22" s="1962"/>
      <c r="S22" s="1962"/>
      <c r="T22" s="1962"/>
      <c r="U22" s="1962"/>
      <c r="V22" s="1962"/>
      <c r="W22" s="1962"/>
      <c r="X22" s="1962"/>
      <c r="Y22" s="1962"/>
      <c r="Z22" s="1962"/>
      <c r="AA22" s="1963" t="s">
        <v>154</v>
      </c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9"/>
      <c r="BK22" s="39"/>
      <c r="BL22" s="39"/>
      <c r="BM22" s="39"/>
      <c r="BN22" s="39"/>
      <c r="BO22" s="39"/>
      <c r="BP22" s="39"/>
      <c r="BQ22" s="39"/>
      <c r="BR22" s="39"/>
      <c r="BS22" s="39"/>
      <c r="BT22" s="39"/>
      <c r="BU22" s="39"/>
      <c r="BV22" s="39"/>
      <c r="BW22" s="39"/>
      <c r="BX22" s="39"/>
      <c r="BY22" s="39"/>
      <c r="BZ22" s="39"/>
      <c r="CA22" s="39"/>
      <c r="CB22" s="39"/>
      <c r="CC22" s="39"/>
      <c r="CD22" s="39"/>
      <c r="CE22" s="39"/>
      <c r="CF22" s="39"/>
      <c r="CG22" s="39"/>
    </row>
    <row r="23" spans="1:85" ht="18.75" customHeight="1" x14ac:dyDescent="0.2">
      <c r="A23" s="33"/>
      <c r="B23" s="1141" t="str">
        <f t="shared" ref="B23:M23" si="28">+B15</f>
        <v>Ene</v>
      </c>
      <c r="C23" s="1141" t="str">
        <f t="shared" si="28"/>
        <v>Feb</v>
      </c>
      <c r="D23" s="1141" t="str">
        <f t="shared" si="28"/>
        <v>Mar</v>
      </c>
      <c r="E23" s="1141" t="str">
        <f t="shared" si="28"/>
        <v>Abr</v>
      </c>
      <c r="F23" s="1141" t="str">
        <f t="shared" si="28"/>
        <v>May</v>
      </c>
      <c r="G23" s="1141" t="str">
        <f t="shared" si="28"/>
        <v>Jun</v>
      </c>
      <c r="H23" s="1141" t="str">
        <f t="shared" si="28"/>
        <v>Jul</v>
      </c>
      <c r="I23" s="1141" t="str">
        <f t="shared" si="28"/>
        <v>Ago</v>
      </c>
      <c r="J23" s="1141" t="str">
        <f t="shared" si="28"/>
        <v>Sep</v>
      </c>
      <c r="K23" s="1141" t="str">
        <f t="shared" si="28"/>
        <v>Oct</v>
      </c>
      <c r="L23" s="1141" t="str">
        <f t="shared" si="28"/>
        <v>Nov</v>
      </c>
      <c r="M23" s="1141" t="str">
        <f t="shared" si="28"/>
        <v>Dic</v>
      </c>
      <c r="N23" s="1963"/>
      <c r="O23" s="1141" t="str">
        <f t="shared" ref="O23:Z23" si="29">+O15</f>
        <v>Ene</v>
      </c>
      <c r="P23" s="1141" t="str">
        <f t="shared" si="29"/>
        <v>Feb</v>
      </c>
      <c r="Q23" s="1141" t="str">
        <f t="shared" si="29"/>
        <v>Mar</v>
      </c>
      <c r="R23" s="1141" t="str">
        <f t="shared" si="29"/>
        <v>Abr</v>
      </c>
      <c r="S23" s="1141" t="str">
        <f t="shared" si="29"/>
        <v>May</v>
      </c>
      <c r="T23" s="1141" t="str">
        <f t="shared" si="29"/>
        <v>Jun</v>
      </c>
      <c r="U23" s="1141" t="str">
        <f t="shared" si="29"/>
        <v>Jul</v>
      </c>
      <c r="V23" s="1141" t="str">
        <f t="shared" si="29"/>
        <v>Ago</v>
      </c>
      <c r="W23" s="1141" t="str">
        <f t="shared" si="29"/>
        <v>Sep</v>
      </c>
      <c r="X23" s="1141" t="str">
        <f t="shared" si="29"/>
        <v>Oct</v>
      </c>
      <c r="Y23" s="1141" t="str">
        <f t="shared" si="29"/>
        <v>Nov</v>
      </c>
      <c r="Z23" s="1141" t="str">
        <f t="shared" si="29"/>
        <v>Dic</v>
      </c>
      <c r="AA23" s="196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9"/>
      <c r="AM23" s="39"/>
      <c r="AN23" s="39"/>
      <c r="AO23" s="39"/>
      <c r="AP23" s="39"/>
      <c r="AQ23" s="39"/>
      <c r="AR23" s="39"/>
      <c r="AS23" s="39"/>
      <c r="AT23" s="39"/>
      <c r="AU23" s="39"/>
      <c r="AV23" s="39"/>
      <c r="AW23" s="39"/>
      <c r="AX23" s="39"/>
      <c r="AY23" s="39"/>
      <c r="AZ23" s="39"/>
      <c r="BA23" s="39"/>
      <c r="BB23" s="39"/>
      <c r="BC23" s="39"/>
      <c r="BD23" s="39"/>
      <c r="BE23" s="39"/>
      <c r="BF23" s="39"/>
      <c r="BG23" s="39"/>
      <c r="BH23" s="39"/>
      <c r="BI23" s="39"/>
      <c r="BJ23" s="39"/>
      <c r="BK23" s="39"/>
      <c r="BL23" s="39"/>
      <c r="BM23" s="39"/>
      <c r="BN23" s="39"/>
      <c r="BO23" s="39"/>
      <c r="BP23" s="39"/>
      <c r="BQ23" s="39"/>
      <c r="BR23" s="39"/>
      <c r="BS23" s="39"/>
      <c r="BT23" s="39"/>
      <c r="BU23" s="39"/>
      <c r="BV23" s="39"/>
      <c r="BW23" s="39"/>
      <c r="BX23" s="39"/>
      <c r="BY23" s="39"/>
      <c r="BZ23" s="39"/>
      <c r="CA23" s="39"/>
      <c r="CB23" s="39"/>
      <c r="CC23" s="39"/>
      <c r="CD23" s="39"/>
      <c r="CE23" s="39"/>
      <c r="CF23" s="39"/>
      <c r="CG23" s="39"/>
    </row>
    <row r="24" spans="1:85" ht="18.75" customHeight="1" x14ac:dyDescent="0.2">
      <c r="A24" s="1142" t="s">
        <v>43</v>
      </c>
      <c r="B24" s="35">
        <f>IF(Z34=0,0,IF(B37=1,$B$5,Z20))</f>
        <v>27777.777777777705</v>
      </c>
      <c r="C24" s="35">
        <f>IF(C37=0,0,IF(C37=1,$B$5,B28))</f>
        <v>25925.925925925854</v>
      </c>
      <c r="D24" s="35">
        <f t="shared" ref="D24:Z24" si="30">IF(D37=0,0,IF(D37=1,$B$5,C28))</f>
        <v>24074.074074074004</v>
      </c>
      <c r="E24" s="35">
        <f t="shared" si="30"/>
        <v>22222.222222222154</v>
      </c>
      <c r="F24" s="35">
        <f t="shared" si="30"/>
        <v>20370.370370370303</v>
      </c>
      <c r="G24" s="35">
        <f t="shared" si="30"/>
        <v>18518.518518518453</v>
      </c>
      <c r="H24" s="35">
        <f t="shared" si="30"/>
        <v>16666.666666666602</v>
      </c>
      <c r="I24" s="35">
        <f t="shared" si="30"/>
        <v>14814.81481481475</v>
      </c>
      <c r="J24" s="35">
        <f t="shared" si="30"/>
        <v>12962.962962962898</v>
      </c>
      <c r="K24" s="35">
        <f t="shared" si="30"/>
        <v>11111.111111111046</v>
      </c>
      <c r="L24" s="35">
        <f t="shared" si="30"/>
        <v>9259.2592592591936</v>
      </c>
      <c r="M24" s="35">
        <f t="shared" si="30"/>
        <v>7407.4074074073415</v>
      </c>
      <c r="N24" s="1143">
        <f>+B24</f>
        <v>27777.777777777705</v>
      </c>
      <c r="O24" s="35">
        <f>IF(O37=0,0,IF(O37=1,$B$5,N28))</f>
        <v>5555.5555555554893</v>
      </c>
      <c r="P24" s="35">
        <f t="shared" si="30"/>
        <v>3703.7037037036371</v>
      </c>
      <c r="Q24" s="35">
        <f t="shared" si="30"/>
        <v>1851.8518518517851</v>
      </c>
      <c r="R24" s="35">
        <f t="shared" si="30"/>
        <v>0</v>
      </c>
      <c r="S24" s="35">
        <f t="shared" si="30"/>
        <v>0</v>
      </c>
      <c r="T24" s="35">
        <f t="shared" si="30"/>
        <v>0</v>
      </c>
      <c r="U24" s="35">
        <f t="shared" si="30"/>
        <v>0</v>
      </c>
      <c r="V24" s="35">
        <f t="shared" si="30"/>
        <v>0</v>
      </c>
      <c r="W24" s="35">
        <f t="shared" si="30"/>
        <v>0</v>
      </c>
      <c r="X24" s="35">
        <f t="shared" si="30"/>
        <v>0</v>
      </c>
      <c r="Y24" s="35">
        <f t="shared" si="30"/>
        <v>0</v>
      </c>
      <c r="Z24" s="35">
        <f t="shared" si="30"/>
        <v>0</v>
      </c>
      <c r="AA24" s="1143">
        <f>+O24</f>
        <v>5555.5555555554893</v>
      </c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9"/>
      <c r="AM24" s="39"/>
      <c r="AN24" s="39"/>
      <c r="AO24" s="39"/>
      <c r="AP24" s="39"/>
      <c r="AQ24" s="39"/>
      <c r="AR24" s="39"/>
      <c r="AS24" s="39"/>
      <c r="AT24" s="39"/>
      <c r="AU24" s="39"/>
      <c r="AV24" s="39"/>
      <c r="AW24" s="39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39"/>
      <c r="BM24" s="39"/>
      <c r="BN24" s="39"/>
      <c r="BO24" s="39"/>
      <c r="BP24" s="39"/>
      <c r="BQ24" s="39"/>
      <c r="BR24" s="39"/>
      <c r="BS24" s="39"/>
      <c r="BT24" s="39"/>
      <c r="BU24" s="39"/>
      <c r="BV24" s="39"/>
      <c r="BW24" s="39"/>
      <c r="BX24" s="39"/>
      <c r="BY24" s="39"/>
      <c r="BZ24" s="39"/>
      <c r="CA24" s="39"/>
      <c r="CB24" s="39"/>
      <c r="CC24" s="39"/>
      <c r="CD24" s="39"/>
      <c r="CE24" s="39"/>
      <c r="CF24" s="39"/>
      <c r="CG24" s="39"/>
    </row>
    <row r="25" spans="1:85" ht="18.75" customHeight="1" x14ac:dyDescent="0.2">
      <c r="A25" s="1142" t="s">
        <v>267</v>
      </c>
      <c r="B25" s="35">
        <f>IF(Z34=0,0,(B24*$C$5/12))</f>
        <v>277.77777777777703</v>
      </c>
      <c r="C25" s="35">
        <f t="shared" ref="C25:M25" si="31">IF(B37=0,0,(C24*$C$5/12))</f>
        <v>259.2592592592585</v>
      </c>
      <c r="D25" s="35">
        <f t="shared" si="31"/>
        <v>240.74074074074005</v>
      </c>
      <c r="E25" s="35">
        <f t="shared" si="31"/>
        <v>222.22222222222152</v>
      </c>
      <c r="F25" s="35">
        <f t="shared" si="31"/>
        <v>203.70370370370301</v>
      </c>
      <c r="G25" s="35">
        <f t="shared" si="31"/>
        <v>185.18518518518454</v>
      </c>
      <c r="H25" s="35">
        <f t="shared" si="31"/>
        <v>166.66666666666603</v>
      </c>
      <c r="I25" s="35">
        <f t="shared" si="31"/>
        <v>148.1481481481475</v>
      </c>
      <c r="J25" s="35">
        <f t="shared" si="31"/>
        <v>129.62962962962897</v>
      </c>
      <c r="K25" s="35">
        <f t="shared" si="31"/>
        <v>111.11111111111046</v>
      </c>
      <c r="L25" s="35">
        <f t="shared" si="31"/>
        <v>92.592592592591927</v>
      </c>
      <c r="M25" s="35">
        <f t="shared" si="31"/>
        <v>74.074074074073408</v>
      </c>
      <c r="N25" s="1143">
        <f>SUM(B25:M25)</f>
        <v>2111.1111111111031</v>
      </c>
      <c r="O25" s="35">
        <f>IF(M37=0,0,(O24*$C$5/12))</f>
        <v>55.555555555554889</v>
      </c>
      <c r="P25" s="35">
        <f t="shared" ref="P25:Z25" si="32">IF(O37=0,0,(P24*$C$5/12))</f>
        <v>37.03703703703637</v>
      </c>
      <c r="Q25" s="35">
        <f t="shared" si="32"/>
        <v>18.518518518517851</v>
      </c>
      <c r="R25" s="35">
        <f t="shared" si="32"/>
        <v>0</v>
      </c>
      <c r="S25" s="35">
        <f t="shared" si="32"/>
        <v>0</v>
      </c>
      <c r="T25" s="35">
        <f t="shared" si="32"/>
        <v>0</v>
      </c>
      <c r="U25" s="35">
        <f t="shared" si="32"/>
        <v>0</v>
      </c>
      <c r="V25" s="35">
        <f t="shared" si="32"/>
        <v>0</v>
      </c>
      <c r="W25" s="35">
        <f t="shared" si="32"/>
        <v>0</v>
      </c>
      <c r="X25" s="35">
        <f t="shared" si="32"/>
        <v>0</v>
      </c>
      <c r="Y25" s="35">
        <f t="shared" si="32"/>
        <v>0</v>
      </c>
      <c r="Z25" s="35">
        <f t="shared" si="32"/>
        <v>0</v>
      </c>
      <c r="AA25" s="1143">
        <f>SUM(O25:Z25)</f>
        <v>111.11111111110911</v>
      </c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9"/>
      <c r="AM25" s="39"/>
      <c r="AN25" s="39"/>
      <c r="AO25" s="39"/>
      <c r="AP25" s="39"/>
      <c r="AQ25" s="39"/>
      <c r="AR25" s="39"/>
      <c r="AS25" s="39"/>
      <c r="AT25" s="39"/>
      <c r="AU25" s="39"/>
      <c r="AV25" s="39"/>
      <c r="AW25" s="39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  <c r="BZ25" s="39"/>
      <c r="CA25" s="39"/>
      <c r="CB25" s="39"/>
      <c r="CC25" s="39"/>
      <c r="CD25" s="39"/>
      <c r="CE25" s="39"/>
      <c r="CF25" s="39"/>
      <c r="CG25" s="39"/>
    </row>
    <row r="26" spans="1:85" ht="18.75" customHeight="1" x14ac:dyDescent="0.2">
      <c r="A26" s="1142" t="str">
        <f>+A18</f>
        <v>Amortización</v>
      </c>
      <c r="B26" s="35">
        <f t="shared" ref="B26:M26" si="33">IF(B24=0,0,IF(B36&lt;=$F$5+$D$5,0,$B$5/($E$5-$D$5)))</f>
        <v>1851.851851851852</v>
      </c>
      <c r="C26" s="35">
        <f t="shared" si="33"/>
        <v>1851.851851851852</v>
      </c>
      <c r="D26" s="35">
        <f t="shared" si="33"/>
        <v>1851.851851851852</v>
      </c>
      <c r="E26" s="35">
        <f t="shared" si="33"/>
        <v>1851.851851851852</v>
      </c>
      <c r="F26" s="35">
        <f t="shared" si="33"/>
        <v>1851.851851851852</v>
      </c>
      <c r="G26" s="35">
        <f t="shared" si="33"/>
        <v>1851.851851851852</v>
      </c>
      <c r="H26" s="35">
        <f t="shared" si="33"/>
        <v>1851.851851851852</v>
      </c>
      <c r="I26" s="35">
        <f t="shared" si="33"/>
        <v>1851.851851851852</v>
      </c>
      <c r="J26" s="35">
        <f t="shared" si="33"/>
        <v>1851.851851851852</v>
      </c>
      <c r="K26" s="35">
        <f t="shared" si="33"/>
        <v>1851.851851851852</v>
      </c>
      <c r="L26" s="35">
        <f t="shared" si="33"/>
        <v>1851.851851851852</v>
      </c>
      <c r="M26" s="35">
        <f t="shared" si="33"/>
        <v>1851.851851851852</v>
      </c>
      <c r="N26" s="1143">
        <f>SUM(B26:M26)</f>
        <v>22222.222222222219</v>
      </c>
      <c r="O26" s="35">
        <f t="shared" ref="O26:Z26" si="34">IF(O24=0,0,IF(O36&lt;=$F$5+$D$5,0,$B$5/($E$5-$D$5)))</f>
        <v>1851.851851851852</v>
      </c>
      <c r="P26" s="35">
        <f t="shared" si="34"/>
        <v>1851.851851851852</v>
      </c>
      <c r="Q26" s="35">
        <f t="shared" si="34"/>
        <v>1851.851851851852</v>
      </c>
      <c r="R26" s="35">
        <f t="shared" si="34"/>
        <v>0</v>
      </c>
      <c r="S26" s="35">
        <f t="shared" si="34"/>
        <v>0</v>
      </c>
      <c r="T26" s="35">
        <f t="shared" si="34"/>
        <v>0</v>
      </c>
      <c r="U26" s="35">
        <f t="shared" si="34"/>
        <v>0</v>
      </c>
      <c r="V26" s="35">
        <f t="shared" si="34"/>
        <v>0</v>
      </c>
      <c r="W26" s="35">
        <f t="shared" si="34"/>
        <v>0</v>
      </c>
      <c r="X26" s="35">
        <f t="shared" si="34"/>
        <v>0</v>
      </c>
      <c r="Y26" s="35">
        <f t="shared" si="34"/>
        <v>0</v>
      </c>
      <c r="Z26" s="35">
        <f t="shared" si="34"/>
        <v>0</v>
      </c>
      <c r="AA26" s="1143">
        <f>SUM(O26:Z26)</f>
        <v>5555.5555555555557</v>
      </c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  <c r="BU26" s="39"/>
      <c r="BV26" s="39"/>
      <c r="BW26" s="39"/>
      <c r="BX26" s="39"/>
      <c r="BY26" s="39"/>
      <c r="BZ26" s="39"/>
      <c r="CA26" s="39"/>
      <c r="CB26" s="39"/>
      <c r="CC26" s="39"/>
      <c r="CD26" s="39"/>
      <c r="CE26" s="39"/>
      <c r="CF26" s="39"/>
      <c r="CG26" s="39"/>
    </row>
    <row r="27" spans="1:85" ht="18.75" customHeight="1" x14ac:dyDescent="0.2">
      <c r="A27" s="1142" t="s">
        <v>52</v>
      </c>
      <c r="B27" s="35">
        <f t="shared" ref="B27:M27" si="35">+B25+B26</f>
        <v>2129.6296296296291</v>
      </c>
      <c r="C27" s="35">
        <f t="shared" si="35"/>
        <v>2111.1111111111104</v>
      </c>
      <c r="D27" s="35">
        <f t="shared" si="35"/>
        <v>2092.5925925925922</v>
      </c>
      <c r="E27" s="35">
        <f t="shared" si="35"/>
        <v>2074.0740740740735</v>
      </c>
      <c r="F27" s="35">
        <f t="shared" si="35"/>
        <v>2055.5555555555547</v>
      </c>
      <c r="G27" s="35">
        <f t="shared" si="35"/>
        <v>2037.0370370370365</v>
      </c>
      <c r="H27" s="35">
        <f t="shared" si="35"/>
        <v>2018.518518518518</v>
      </c>
      <c r="I27" s="35">
        <f t="shared" si="35"/>
        <v>1999.9999999999995</v>
      </c>
      <c r="J27" s="35">
        <f t="shared" si="35"/>
        <v>1981.4814814814808</v>
      </c>
      <c r="K27" s="35">
        <f t="shared" si="35"/>
        <v>1962.9629629629624</v>
      </c>
      <c r="L27" s="35">
        <f t="shared" si="35"/>
        <v>1944.4444444444439</v>
      </c>
      <c r="M27" s="35">
        <f t="shared" si="35"/>
        <v>1925.9259259259254</v>
      </c>
      <c r="N27" s="1143">
        <f>SUM(B27:M27)</f>
        <v>24333.333333333332</v>
      </c>
      <c r="O27" s="35">
        <f t="shared" ref="O27:Z27" si="36">+O25+O26</f>
        <v>1907.4074074074069</v>
      </c>
      <c r="P27" s="35">
        <f t="shared" si="36"/>
        <v>1888.8888888888882</v>
      </c>
      <c r="Q27" s="35">
        <f t="shared" si="36"/>
        <v>1870.3703703703698</v>
      </c>
      <c r="R27" s="35">
        <f t="shared" si="36"/>
        <v>0</v>
      </c>
      <c r="S27" s="35">
        <f t="shared" si="36"/>
        <v>0</v>
      </c>
      <c r="T27" s="35">
        <f t="shared" si="36"/>
        <v>0</v>
      </c>
      <c r="U27" s="35">
        <f t="shared" si="36"/>
        <v>0</v>
      </c>
      <c r="V27" s="35">
        <f t="shared" si="36"/>
        <v>0</v>
      </c>
      <c r="W27" s="35">
        <f t="shared" si="36"/>
        <v>0</v>
      </c>
      <c r="X27" s="35">
        <f t="shared" si="36"/>
        <v>0</v>
      </c>
      <c r="Y27" s="35">
        <f t="shared" si="36"/>
        <v>0</v>
      </c>
      <c r="Z27" s="35">
        <f t="shared" si="36"/>
        <v>0</v>
      </c>
      <c r="AA27" s="1143">
        <f>SUM(O27:Z27)</f>
        <v>5666.6666666666652</v>
      </c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9"/>
      <c r="AM27" s="39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  <c r="BZ27" s="39"/>
      <c r="CA27" s="39"/>
      <c r="CB27" s="39"/>
      <c r="CC27" s="39"/>
      <c r="CD27" s="39"/>
      <c r="CE27" s="39"/>
      <c r="CF27" s="39"/>
      <c r="CG27" s="39"/>
    </row>
    <row r="28" spans="1:85" ht="18.75" customHeight="1" x14ac:dyDescent="0.2">
      <c r="A28" s="1142" t="s">
        <v>45</v>
      </c>
      <c r="B28" s="35">
        <f t="shared" ref="B28:M28" si="37">IF(B24-B26&lt;=0.01,0,B24-B26)</f>
        <v>25925.925925925854</v>
      </c>
      <c r="C28" s="35">
        <f t="shared" si="37"/>
        <v>24074.074074074004</v>
      </c>
      <c r="D28" s="35">
        <f t="shared" si="37"/>
        <v>22222.222222222154</v>
      </c>
      <c r="E28" s="35">
        <f t="shared" si="37"/>
        <v>20370.370370370303</v>
      </c>
      <c r="F28" s="35">
        <f t="shared" si="37"/>
        <v>18518.518518518453</v>
      </c>
      <c r="G28" s="35">
        <f t="shared" si="37"/>
        <v>16666.666666666602</v>
      </c>
      <c r="H28" s="35">
        <f t="shared" si="37"/>
        <v>14814.81481481475</v>
      </c>
      <c r="I28" s="35">
        <f t="shared" si="37"/>
        <v>12962.962962962898</v>
      </c>
      <c r="J28" s="35">
        <f t="shared" si="37"/>
        <v>11111.111111111046</v>
      </c>
      <c r="K28" s="35">
        <f t="shared" si="37"/>
        <v>9259.2592592591936</v>
      </c>
      <c r="L28" s="35">
        <f t="shared" si="37"/>
        <v>7407.4074074073415</v>
      </c>
      <c r="M28" s="35">
        <f t="shared" si="37"/>
        <v>5555.5555555554893</v>
      </c>
      <c r="N28" s="1143">
        <f>+M28</f>
        <v>5555.5555555554893</v>
      </c>
      <c r="O28" s="35">
        <f t="shared" ref="O28:Z28" si="38">IF(O24-O26&lt;=0.01,0,O24-O26)</f>
        <v>3703.7037037036371</v>
      </c>
      <c r="P28" s="35">
        <f t="shared" si="38"/>
        <v>1851.8518518517851</v>
      </c>
      <c r="Q28" s="35">
        <f t="shared" si="38"/>
        <v>0</v>
      </c>
      <c r="R28" s="35">
        <f t="shared" si="38"/>
        <v>0</v>
      </c>
      <c r="S28" s="35">
        <f t="shared" si="38"/>
        <v>0</v>
      </c>
      <c r="T28" s="35">
        <f t="shared" si="38"/>
        <v>0</v>
      </c>
      <c r="U28" s="35">
        <f t="shared" si="38"/>
        <v>0</v>
      </c>
      <c r="V28" s="35">
        <f t="shared" si="38"/>
        <v>0</v>
      </c>
      <c r="W28" s="35">
        <f t="shared" si="38"/>
        <v>0</v>
      </c>
      <c r="X28" s="35">
        <f t="shared" si="38"/>
        <v>0</v>
      </c>
      <c r="Y28" s="35">
        <f t="shared" si="38"/>
        <v>0</v>
      </c>
      <c r="Z28" s="35">
        <f t="shared" si="38"/>
        <v>0</v>
      </c>
      <c r="AA28" s="1143">
        <f>+Z28</f>
        <v>0</v>
      </c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9"/>
      <c r="AM28" s="39"/>
      <c r="AN28" s="39"/>
      <c r="AO28" s="39"/>
      <c r="AP28" s="39"/>
      <c r="AQ28" s="39"/>
      <c r="AR28" s="39"/>
      <c r="AS28" s="39"/>
      <c r="AT28" s="39"/>
      <c r="AU28" s="39"/>
      <c r="AV28" s="39"/>
      <c r="AW28" s="39"/>
      <c r="AX28" s="39"/>
      <c r="AY28" s="39"/>
      <c r="AZ28" s="39"/>
      <c r="BA28" s="39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39"/>
      <c r="BM28" s="39"/>
      <c r="BN28" s="39"/>
      <c r="BO28" s="39"/>
      <c r="BP28" s="39"/>
      <c r="BQ28" s="39"/>
      <c r="BR28" s="39"/>
      <c r="BS28" s="39"/>
      <c r="BT28" s="39"/>
      <c r="BU28" s="39"/>
      <c r="BV28" s="39"/>
      <c r="BW28" s="39"/>
      <c r="BX28" s="39"/>
      <c r="BY28" s="39"/>
      <c r="BZ28" s="39"/>
      <c r="CA28" s="39"/>
      <c r="CB28" s="39"/>
      <c r="CC28" s="39"/>
      <c r="CD28" s="39"/>
      <c r="CE28" s="39"/>
      <c r="CF28" s="39"/>
      <c r="CG28" s="39"/>
    </row>
    <row r="29" spans="1:85" x14ac:dyDescent="0.2">
      <c r="A29" s="39"/>
      <c r="B29" s="39"/>
      <c r="C29" s="39"/>
      <c r="D29" s="39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39"/>
      <c r="AO29" s="39"/>
      <c r="AP29" s="39"/>
      <c r="AQ29" s="39"/>
      <c r="AR29" s="39"/>
      <c r="AS29" s="39"/>
      <c r="AT29" s="39"/>
      <c r="AU29" s="39"/>
      <c r="AV29" s="39"/>
      <c r="AW29" s="39"/>
      <c r="AX29" s="3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P29" s="39"/>
      <c r="BQ29" s="39"/>
      <c r="BR29" s="39"/>
      <c r="BS29" s="39"/>
      <c r="BT29" s="39"/>
      <c r="BU29" s="39"/>
      <c r="BV29" s="39"/>
      <c r="BW29" s="39"/>
      <c r="BX29" s="39"/>
      <c r="BY29" s="39"/>
      <c r="BZ29" s="39"/>
      <c r="CA29" s="39"/>
      <c r="CB29" s="39"/>
      <c r="CC29" s="39"/>
      <c r="CD29" s="39"/>
      <c r="CE29" s="39"/>
      <c r="CF29" s="39"/>
      <c r="CG29" s="39"/>
    </row>
    <row r="30" spans="1:85" x14ac:dyDescent="0.2">
      <c r="A30" s="39" t="s">
        <v>189</v>
      </c>
      <c r="B30" s="39">
        <f t="shared" ref="B30:M30" si="39">+B3</f>
        <v>1</v>
      </c>
      <c r="C30" s="39">
        <f t="shared" si="39"/>
        <v>2</v>
      </c>
      <c r="D30" s="39">
        <f t="shared" si="39"/>
        <v>3</v>
      </c>
      <c r="E30" s="39">
        <f t="shared" si="39"/>
        <v>4</v>
      </c>
      <c r="F30" s="39">
        <f t="shared" si="39"/>
        <v>5</v>
      </c>
      <c r="G30" s="39">
        <f t="shared" si="39"/>
        <v>6</v>
      </c>
      <c r="H30" s="39">
        <f t="shared" si="39"/>
        <v>7</v>
      </c>
      <c r="I30" s="39">
        <f t="shared" si="39"/>
        <v>8</v>
      </c>
      <c r="J30" s="39">
        <f t="shared" si="39"/>
        <v>9</v>
      </c>
      <c r="K30" s="39">
        <f t="shared" si="39"/>
        <v>10</v>
      </c>
      <c r="L30" s="39">
        <f t="shared" si="39"/>
        <v>11</v>
      </c>
      <c r="M30" s="39">
        <f t="shared" si="39"/>
        <v>12</v>
      </c>
      <c r="N30" s="39"/>
      <c r="O30" s="39">
        <f t="shared" ref="O30:Z30" si="40">+O3</f>
        <v>13</v>
      </c>
      <c r="P30" s="39">
        <f t="shared" si="40"/>
        <v>14</v>
      </c>
      <c r="Q30" s="39">
        <f t="shared" si="40"/>
        <v>15</v>
      </c>
      <c r="R30" s="39">
        <f t="shared" si="40"/>
        <v>16</v>
      </c>
      <c r="S30" s="39">
        <f t="shared" si="40"/>
        <v>17</v>
      </c>
      <c r="T30" s="39">
        <f t="shared" si="40"/>
        <v>18</v>
      </c>
      <c r="U30" s="39">
        <f t="shared" si="40"/>
        <v>19</v>
      </c>
      <c r="V30" s="39">
        <f t="shared" si="40"/>
        <v>20</v>
      </c>
      <c r="W30" s="39">
        <f t="shared" si="40"/>
        <v>21</v>
      </c>
      <c r="X30" s="39">
        <f t="shared" si="40"/>
        <v>22</v>
      </c>
      <c r="Y30" s="39">
        <f t="shared" si="40"/>
        <v>23</v>
      </c>
      <c r="Z30" s="39">
        <f t="shared" si="40"/>
        <v>24</v>
      </c>
      <c r="AA30" s="39"/>
      <c r="AB30" s="39"/>
      <c r="AC30" s="39"/>
      <c r="AD30" s="39"/>
      <c r="AE30" s="39"/>
      <c r="AF30" s="39"/>
      <c r="AG30" s="39"/>
      <c r="AH30" s="39"/>
      <c r="AI30" s="39"/>
      <c r="AJ30" s="39"/>
      <c r="AK30" s="39"/>
      <c r="AL30" s="39"/>
      <c r="AM30" s="39"/>
      <c r="AN30" s="39"/>
      <c r="AO30" s="39"/>
      <c r="AP30" s="39"/>
      <c r="AQ30" s="39"/>
      <c r="AR30" s="39"/>
      <c r="AS30" s="39"/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P30" s="39"/>
      <c r="BQ30" s="39"/>
      <c r="BR30" s="39"/>
      <c r="BS30" s="39"/>
      <c r="BT30" s="39"/>
      <c r="BU30" s="39"/>
      <c r="BV30" s="39"/>
      <c r="BW30" s="39"/>
      <c r="BX30" s="39"/>
      <c r="BY30" s="39"/>
      <c r="BZ30" s="39"/>
      <c r="CA30" s="39"/>
      <c r="CB30" s="39"/>
      <c r="CC30" s="39"/>
      <c r="CD30" s="39"/>
      <c r="CE30" s="39"/>
      <c r="CF30" s="39"/>
      <c r="CG30" s="39"/>
    </row>
    <row r="31" spans="1:85" x14ac:dyDescent="0.2">
      <c r="A31" s="39" t="s">
        <v>188</v>
      </c>
      <c r="B31" s="39">
        <f>IF(B30&lt;$F$5,0,IF(B30=$F$5,1,IF(B30&gt;$F$5+$E$5,0,A31+1)))</f>
        <v>0</v>
      </c>
      <c r="C31" s="39">
        <f>IF(C30&lt;$F$5,0,IF(C30=$F$5,1,IF(C30&gt;$F$5+$E$5,0,B31+1)))</f>
        <v>0</v>
      </c>
      <c r="D31" s="39">
        <f t="shared" ref="D31:M31" si="41">IF(D30&lt;$F$5,0,IF(D30=$F$5,1,IF(D30&gt;$F$5+$E$5,0,C31+1)))</f>
        <v>1</v>
      </c>
      <c r="E31" s="39">
        <f t="shared" si="41"/>
        <v>2</v>
      </c>
      <c r="F31" s="39">
        <f t="shared" si="41"/>
        <v>3</v>
      </c>
      <c r="G31" s="39">
        <f t="shared" si="41"/>
        <v>4</v>
      </c>
      <c r="H31" s="39">
        <f t="shared" si="41"/>
        <v>5</v>
      </c>
      <c r="I31" s="39">
        <f t="shared" si="41"/>
        <v>6</v>
      </c>
      <c r="J31" s="39">
        <f t="shared" si="41"/>
        <v>7</v>
      </c>
      <c r="K31" s="39">
        <f t="shared" si="41"/>
        <v>8</v>
      </c>
      <c r="L31" s="39">
        <f t="shared" si="41"/>
        <v>9</v>
      </c>
      <c r="M31" s="39">
        <f t="shared" si="41"/>
        <v>10</v>
      </c>
      <c r="N31" s="39">
        <f>+M31</f>
        <v>10</v>
      </c>
      <c r="O31" s="39">
        <f t="shared" ref="O31:Z31" si="42">IF(O30&lt;$F$5,0,IF(O30=$F$5,1,IF(O30&gt;$F$5+$E$5,0,N31+1)))</f>
        <v>11</v>
      </c>
      <c r="P31" s="39">
        <f t="shared" si="42"/>
        <v>12</v>
      </c>
      <c r="Q31" s="39">
        <f t="shared" si="42"/>
        <v>13</v>
      </c>
      <c r="R31" s="39">
        <f t="shared" si="42"/>
        <v>14</v>
      </c>
      <c r="S31" s="39">
        <f t="shared" si="42"/>
        <v>15</v>
      </c>
      <c r="T31" s="39">
        <f t="shared" si="42"/>
        <v>16</v>
      </c>
      <c r="U31" s="39">
        <f t="shared" si="42"/>
        <v>17</v>
      </c>
      <c r="V31" s="39">
        <f t="shared" si="42"/>
        <v>18</v>
      </c>
      <c r="W31" s="39">
        <f t="shared" si="42"/>
        <v>19</v>
      </c>
      <c r="X31" s="39">
        <f t="shared" si="42"/>
        <v>20</v>
      </c>
      <c r="Y31" s="39">
        <f t="shared" si="42"/>
        <v>21</v>
      </c>
      <c r="Z31" s="39">
        <f t="shared" si="42"/>
        <v>22</v>
      </c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39"/>
      <c r="AN31" s="39"/>
      <c r="AO31" s="39"/>
      <c r="AP31" s="39"/>
      <c r="AQ31" s="39"/>
      <c r="AR31" s="39"/>
      <c r="AS31" s="39"/>
      <c r="AT31" s="39"/>
      <c r="AU31" s="39"/>
      <c r="AV31" s="39"/>
      <c r="AW31" s="39"/>
      <c r="AX31" s="39"/>
      <c r="AY31" s="39"/>
      <c r="AZ31" s="39"/>
      <c r="BA31" s="39"/>
      <c r="BB31" s="39"/>
      <c r="BC31" s="39"/>
      <c r="BD31" s="39"/>
      <c r="BE31" s="39"/>
      <c r="BF31" s="39"/>
      <c r="BG31" s="39"/>
      <c r="BH31" s="39"/>
      <c r="BI31" s="39"/>
      <c r="BJ31" s="39"/>
      <c r="BK31" s="39"/>
      <c r="BL31" s="39"/>
      <c r="BM31" s="39"/>
      <c r="BN31" s="39"/>
      <c r="BO31" s="39"/>
      <c r="BP31" s="39"/>
      <c r="BQ31" s="39"/>
      <c r="BR31" s="39"/>
      <c r="BS31" s="39"/>
      <c r="BT31" s="39"/>
      <c r="BU31" s="39"/>
      <c r="BV31" s="39"/>
      <c r="BW31" s="39"/>
      <c r="BX31" s="39"/>
      <c r="BY31" s="39"/>
      <c r="BZ31" s="39"/>
      <c r="CA31" s="39"/>
      <c r="CB31" s="39"/>
      <c r="CC31" s="39"/>
      <c r="CD31" s="39"/>
      <c r="CE31" s="39"/>
      <c r="CF31" s="39"/>
      <c r="CG31" s="39"/>
    </row>
    <row r="32" spans="1:85" x14ac:dyDescent="0.2">
      <c r="A32" s="39"/>
      <c r="B32" s="3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39"/>
      <c r="CG32" s="39"/>
    </row>
    <row r="33" spans="1:109" x14ac:dyDescent="0.2">
      <c r="A33" s="39" t="str">
        <f>+A30</f>
        <v>Numero del mes</v>
      </c>
      <c r="B33" s="39">
        <f>+Z3+1</f>
        <v>25</v>
      </c>
      <c r="C33" s="39">
        <f t="shared" ref="C33:M33" si="43">+B33+1</f>
        <v>26</v>
      </c>
      <c r="D33" s="39">
        <f t="shared" si="43"/>
        <v>27</v>
      </c>
      <c r="E33" s="39">
        <f t="shared" si="43"/>
        <v>28</v>
      </c>
      <c r="F33" s="39">
        <f t="shared" si="43"/>
        <v>29</v>
      </c>
      <c r="G33" s="39">
        <f t="shared" si="43"/>
        <v>30</v>
      </c>
      <c r="H33" s="39">
        <f t="shared" si="43"/>
        <v>31</v>
      </c>
      <c r="I33" s="39">
        <f t="shared" si="43"/>
        <v>32</v>
      </c>
      <c r="J33" s="39">
        <f t="shared" si="43"/>
        <v>33</v>
      </c>
      <c r="K33" s="39">
        <f t="shared" si="43"/>
        <v>34</v>
      </c>
      <c r="L33" s="39">
        <f t="shared" si="43"/>
        <v>35</v>
      </c>
      <c r="M33" s="39">
        <f t="shared" si="43"/>
        <v>36</v>
      </c>
      <c r="N33" s="39"/>
      <c r="O33" s="39">
        <f>+M33+1</f>
        <v>37</v>
      </c>
      <c r="P33" s="39">
        <f t="shared" ref="P33:Z33" si="44">+O33+1</f>
        <v>38</v>
      </c>
      <c r="Q33" s="39">
        <f t="shared" si="44"/>
        <v>39</v>
      </c>
      <c r="R33" s="39">
        <f t="shared" si="44"/>
        <v>40</v>
      </c>
      <c r="S33" s="39">
        <f t="shared" si="44"/>
        <v>41</v>
      </c>
      <c r="T33" s="39">
        <f t="shared" si="44"/>
        <v>42</v>
      </c>
      <c r="U33" s="39">
        <f t="shared" si="44"/>
        <v>43</v>
      </c>
      <c r="V33" s="39">
        <f t="shared" si="44"/>
        <v>44</v>
      </c>
      <c r="W33" s="39">
        <f t="shared" si="44"/>
        <v>45</v>
      </c>
      <c r="X33" s="39">
        <f t="shared" si="44"/>
        <v>46</v>
      </c>
      <c r="Y33" s="39">
        <f t="shared" si="44"/>
        <v>47</v>
      </c>
      <c r="Z33" s="39">
        <f t="shared" si="44"/>
        <v>48</v>
      </c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39"/>
      <c r="AO33" s="39"/>
      <c r="AP33" s="39"/>
      <c r="AQ33" s="39"/>
      <c r="AR33" s="39"/>
      <c r="AS33" s="39"/>
      <c r="AT33" s="39"/>
      <c r="AU33" s="39"/>
      <c r="AV33" s="39"/>
      <c r="AW33" s="39"/>
      <c r="AX33" s="39"/>
      <c r="AY33" s="39"/>
      <c r="AZ33" s="39"/>
      <c r="BA33" s="39"/>
      <c r="BB33" s="39"/>
      <c r="BC33" s="39"/>
      <c r="BD33" s="39"/>
      <c r="BE33" s="39"/>
      <c r="BF33" s="39"/>
      <c r="BG33" s="39"/>
      <c r="BH33" s="39"/>
      <c r="BI33" s="39"/>
      <c r="BJ33" s="39"/>
      <c r="BK33" s="39"/>
      <c r="BL33" s="39"/>
      <c r="BM33" s="39"/>
      <c r="BN33" s="39"/>
      <c r="BO33" s="39"/>
      <c r="BP33" s="39"/>
      <c r="BQ33" s="39"/>
      <c r="BR33" s="39"/>
      <c r="BS33" s="39"/>
      <c r="BT33" s="39"/>
      <c r="BU33" s="39"/>
      <c r="BV33" s="39"/>
      <c r="BW33" s="39"/>
      <c r="BX33" s="39"/>
      <c r="BY33" s="39"/>
      <c r="BZ33" s="39"/>
      <c r="CA33" s="39"/>
      <c r="CB33" s="39"/>
      <c r="CC33" s="39"/>
      <c r="CD33" s="39"/>
      <c r="CE33" s="39"/>
      <c r="CF33" s="39"/>
      <c r="CG33" s="39"/>
    </row>
    <row r="34" spans="1:109" x14ac:dyDescent="0.2">
      <c r="A34" s="39" t="s">
        <v>188</v>
      </c>
      <c r="B34" s="39">
        <f>IF(B33&lt;$F$5,0,IF(B33=$F$5,1,IF(B33&gt;$F$5+$E$5,0,Z31+1)))</f>
        <v>23</v>
      </c>
      <c r="C34" s="39">
        <f t="shared" ref="C34:M34" si="45">IF(C33&lt;$F$5,0,IF(C33=$F$5,1,IF(C33&gt;$F$5+$E$5,0,B34+1)))</f>
        <v>24</v>
      </c>
      <c r="D34" s="39">
        <f t="shared" si="45"/>
        <v>25</v>
      </c>
      <c r="E34" s="39">
        <f t="shared" si="45"/>
        <v>26</v>
      </c>
      <c r="F34" s="39">
        <f t="shared" si="45"/>
        <v>27</v>
      </c>
      <c r="G34" s="39">
        <f t="shared" si="45"/>
        <v>28</v>
      </c>
      <c r="H34" s="39">
        <f t="shared" si="45"/>
        <v>29</v>
      </c>
      <c r="I34" s="39">
        <f t="shared" si="45"/>
        <v>30</v>
      </c>
      <c r="J34" s="39">
        <f t="shared" si="45"/>
        <v>31</v>
      </c>
      <c r="K34" s="39">
        <f t="shared" si="45"/>
        <v>32</v>
      </c>
      <c r="L34" s="39">
        <f t="shared" si="45"/>
        <v>33</v>
      </c>
      <c r="M34" s="39">
        <f t="shared" si="45"/>
        <v>34</v>
      </c>
      <c r="N34" s="39">
        <f>+M34</f>
        <v>34</v>
      </c>
      <c r="O34" s="39">
        <f t="shared" ref="O34:Z34" si="46">IF(O33&lt;$F$5,0,IF(O33=$F$5,1,IF(O33&gt;$F$5+$E$5,0,N34+1)))</f>
        <v>35</v>
      </c>
      <c r="P34" s="39">
        <f t="shared" si="46"/>
        <v>36</v>
      </c>
      <c r="Q34" s="39">
        <f t="shared" si="46"/>
        <v>37</v>
      </c>
      <c r="R34" s="39">
        <f t="shared" si="46"/>
        <v>38</v>
      </c>
      <c r="S34" s="39">
        <f t="shared" si="46"/>
        <v>39</v>
      </c>
      <c r="T34" s="39">
        <f t="shared" si="46"/>
        <v>40</v>
      </c>
      <c r="U34" s="39">
        <f t="shared" si="46"/>
        <v>41</v>
      </c>
      <c r="V34" s="39">
        <f t="shared" si="46"/>
        <v>42</v>
      </c>
      <c r="W34" s="39">
        <f t="shared" si="46"/>
        <v>43</v>
      </c>
      <c r="X34" s="39">
        <f t="shared" si="46"/>
        <v>44</v>
      </c>
      <c r="Y34" s="39">
        <f t="shared" si="46"/>
        <v>45</v>
      </c>
      <c r="Z34" s="39">
        <f t="shared" si="46"/>
        <v>46</v>
      </c>
      <c r="AA34" s="39"/>
      <c r="AB34" s="39"/>
      <c r="AC34" s="39"/>
      <c r="AD34" s="39"/>
      <c r="AE34" s="39"/>
      <c r="AF34" s="39"/>
      <c r="AG34" s="39"/>
      <c r="AH34" s="39"/>
      <c r="AI34" s="39"/>
      <c r="AJ34" s="39"/>
      <c r="AK34" s="39"/>
      <c r="AL34" s="39"/>
      <c r="AM34" s="39"/>
      <c r="AN34" s="39"/>
      <c r="AO34" s="39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P34" s="39"/>
      <c r="BQ34" s="39"/>
      <c r="BR34" s="39"/>
      <c r="BS34" s="39"/>
      <c r="BT34" s="39"/>
      <c r="BU34" s="39"/>
      <c r="BV34" s="39"/>
      <c r="BW34" s="39"/>
      <c r="BX34" s="39"/>
      <c r="BY34" s="39"/>
      <c r="BZ34" s="39"/>
      <c r="CA34" s="39"/>
      <c r="CB34" s="39"/>
      <c r="CC34" s="39"/>
      <c r="CD34" s="39"/>
      <c r="CE34" s="39"/>
      <c r="CF34" s="39"/>
      <c r="CG34" s="39"/>
    </row>
    <row r="35" spans="1:109" x14ac:dyDescent="0.2">
      <c r="A35" s="39"/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39"/>
      <c r="AD35" s="39"/>
      <c r="AE35" s="39"/>
      <c r="AF35" s="39"/>
      <c r="AG35" s="39"/>
      <c r="AH35" s="39"/>
      <c r="AI35" s="39"/>
      <c r="AJ35" s="39"/>
      <c r="AK35" s="39"/>
      <c r="AL35" s="39"/>
      <c r="AM35" s="39"/>
      <c r="AN35" s="39"/>
      <c r="AO35" s="39"/>
      <c r="AP35" s="39"/>
      <c r="AQ35" s="39"/>
      <c r="AR35" s="39"/>
      <c r="AS35" s="39"/>
      <c r="AT35" s="39"/>
      <c r="AU35" s="39"/>
      <c r="AV35" s="39"/>
      <c r="AW35" s="39"/>
      <c r="AX35" s="39"/>
      <c r="AY35" s="39"/>
      <c r="AZ35" s="39"/>
      <c r="BA35" s="39"/>
      <c r="BB35" s="39"/>
      <c r="BC35" s="39"/>
      <c r="BD35" s="39"/>
      <c r="BE35" s="39"/>
      <c r="BF35" s="39"/>
      <c r="BG35" s="39"/>
      <c r="BH35" s="39"/>
      <c r="BI35" s="39"/>
      <c r="BJ35" s="39"/>
      <c r="BK35" s="39"/>
      <c r="BL35" s="39"/>
      <c r="BM35" s="39"/>
      <c r="BN35" s="39"/>
      <c r="BO35" s="39"/>
      <c r="BP35" s="39"/>
      <c r="BQ35" s="39"/>
      <c r="BR35" s="39"/>
      <c r="BS35" s="39"/>
      <c r="BT35" s="39"/>
      <c r="BU35" s="39"/>
      <c r="BV35" s="39"/>
      <c r="BW35" s="39"/>
      <c r="BX35" s="39"/>
      <c r="BY35" s="39"/>
      <c r="BZ35" s="39"/>
      <c r="CA35" s="39"/>
      <c r="CB35" s="39"/>
      <c r="CC35" s="39"/>
      <c r="CD35" s="39"/>
      <c r="CE35" s="39"/>
      <c r="CF35" s="39"/>
      <c r="CG35" s="39"/>
    </row>
    <row r="36" spans="1:109" x14ac:dyDescent="0.2">
      <c r="A36" s="39" t="str">
        <f>+A33</f>
        <v>Numero del mes</v>
      </c>
      <c r="B36" s="39">
        <f>+Z33+1</f>
        <v>49</v>
      </c>
      <c r="C36" s="39">
        <f t="shared" ref="C36:M36" si="47">+B36+1</f>
        <v>50</v>
      </c>
      <c r="D36" s="39">
        <f t="shared" si="47"/>
        <v>51</v>
      </c>
      <c r="E36" s="39">
        <f t="shared" si="47"/>
        <v>52</v>
      </c>
      <c r="F36" s="39">
        <f t="shared" si="47"/>
        <v>53</v>
      </c>
      <c r="G36" s="39">
        <f t="shared" si="47"/>
        <v>54</v>
      </c>
      <c r="H36" s="39">
        <f t="shared" si="47"/>
        <v>55</v>
      </c>
      <c r="I36" s="39">
        <f t="shared" si="47"/>
        <v>56</v>
      </c>
      <c r="J36" s="39">
        <f t="shared" si="47"/>
        <v>57</v>
      </c>
      <c r="K36" s="39">
        <f t="shared" si="47"/>
        <v>58</v>
      </c>
      <c r="L36" s="39">
        <f t="shared" si="47"/>
        <v>59</v>
      </c>
      <c r="M36" s="39">
        <f t="shared" si="47"/>
        <v>60</v>
      </c>
      <c r="N36" s="39"/>
      <c r="O36" s="39">
        <f>+M36+1</f>
        <v>61</v>
      </c>
      <c r="P36" s="39">
        <f t="shared" ref="P36:Z36" si="48">+O36+1</f>
        <v>62</v>
      </c>
      <c r="Q36" s="39">
        <f t="shared" si="48"/>
        <v>63</v>
      </c>
      <c r="R36" s="39">
        <f t="shared" si="48"/>
        <v>64</v>
      </c>
      <c r="S36" s="39">
        <f t="shared" si="48"/>
        <v>65</v>
      </c>
      <c r="T36" s="39">
        <f t="shared" si="48"/>
        <v>66</v>
      </c>
      <c r="U36" s="39">
        <f t="shared" si="48"/>
        <v>67</v>
      </c>
      <c r="V36" s="39">
        <f t="shared" si="48"/>
        <v>68</v>
      </c>
      <c r="W36" s="39">
        <f t="shared" si="48"/>
        <v>69</v>
      </c>
      <c r="X36" s="39">
        <f t="shared" si="48"/>
        <v>70</v>
      </c>
      <c r="Y36" s="39">
        <f t="shared" si="48"/>
        <v>71</v>
      </c>
      <c r="Z36" s="39">
        <f t="shared" si="48"/>
        <v>72</v>
      </c>
      <c r="AA36" s="39"/>
      <c r="AB36" s="39"/>
      <c r="AC36" s="39"/>
      <c r="AD36" s="39"/>
      <c r="AE36" s="39"/>
      <c r="AF36" s="39"/>
      <c r="AG36" s="39"/>
      <c r="AH36" s="39"/>
      <c r="AI36" s="39"/>
      <c r="AJ36" s="39"/>
      <c r="AK36" s="39"/>
      <c r="AL36" s="39"/>
      <c r="AM36" s="39"/>
      <c r="AN36" s="39"/>
      <c r="AO36" s="39"/>
      <c r="AP36" s="39"/>
      <c r="AQ36" s="39"/>
      <c r="AR36" s="39"/>
      <c r="AS36" s="39"/>
      <c r="AT36" s="39"/>
      <c r="AU36" s="39"/>
      <c r="AV36" s="39"/>
      <c r="AW36" s="39"/>
      <c r="AX36" s="39"/>
      <c r="AY36" s="39"/>
      <c r="AZ36" s="39"/>
      <c r="BA36" s="39"/>
      <c r="BB36" s="39"/>
      <c r="BC36" s="39"/>
      <c r="BD36" s="39"/>
      <c r="BE36" s="39"/>
      <c r="BF36" s="39"/>
      <c r="BG36" s="39"/>
      <c r="BH36" s="39"/>
      <c r="BI36" s="39"/>
      <c r="BJ36" s="39"/>
      <c r="BK36" s="39"/>
      <c r="BL36" s="39"/>
      <c r="BM36" s="39"/>
      <c r="BN36" s="39"/>
      <c r="BO36" s="39"/>
      <c r="BP36" s="39"/>
      <c r="BQ36" s="39"/>
      <c r="BR36" s="39"/>
      <c r="BS36" s="39"/>
      <c r="BT36" s="39"/>
      <c r="BU36" s="39"/>
      <c r="BV36" s="39"/>
      <c r="BW36" s="39"/>
      <c r="BX36" s="39"/>
      <c r="BY36" s="39"/>
      <c r="BZ36" s="39"/>
      <c r="CA36" s="39"/>
      <c r="CB36" s="39"/>
      <c r="CC36" s="39"/>
      <c r="CD36" s="39"/>
      <c r="CE36" s="39"/>
      <c r="CF36" s="39"/>
      <c r="CG36" s="39"/>
    </row>
    <row r="37" spans="1:109" x14ac:dyDescent="0.2">
      <c r="A37" s="39" t="s">
        <v>188</v>
      </c>
      <c r="B37" s="39">
        <f>IF(B36&lt;$F$5,0,IF(B36=$F$5,1,IF(B36&gt;$F$5+$E$5,0,Z34+1)))</f>
        <v>47</v>
      </c>
      <c r="C37" s="39">
        <f>IF(C36&lt;$F$5,0,IF(C36=$F$5,1,IF(C36&gt;$F$5+$E$5,0,B37+1)))</f>
        <v>48</v>
      </c>
      <c r="D37" s="39">
        <f t="shared" ref="D37:M37" si="49">IF(D36&lt;$F$5,0,IF(D36=$F$5,1,IF(D36&gt;$F$5+$E$5,0,C37+1)))</f>
        <v>49</v>
      </c>
      <c r="E37" s="39">
        <f t="shared" si="49"/>
        <v>50</v>
      </c>
      <c r="F37" s="39">
        <f t="shared" si="49"/>
        <v>51</v>
      </c>
      <c r="G37" s="39">
        <f t="shared" si="49"/>
        <v>52</v>
      </c>
      <c r="H37" s="39">
        <f t="shared" si="49"/>
        <v>53</v>
      </c>
      <c r="I37" s="39">
        <f t="shared" si="49"/>
        <v>54</v>
      </c>
      <c r="J37" s="39">
        <f t="shared" si="49"/>
        <v>55</v>
      </c>
      <c r="K37" s="39">
        <f t="shared" si="49"/>
        <v>56</v>
      </c>
      <c r="L37" s="39">
        <f t="shared" si="49"/>
        <v>57</v>
      </c>
      <c r="M37" s="39">
        <f t="shared" si="49"/>
        <v>58</v>
      </c>
      <c r="N37" s="39">
        <f>+M37</f>
        <v>58</v>
      </c>
      <c r="O37" s="39">
        <f t="shared" ref="O37:Z37" si="50">IF(O36&lt;$F$5,0,IF(O36=$F$5,1,IF(O36&gt;$F$5+$E$5,0,N37+1)))</f>
        <v>59</v>
      </c>
      <c r="P37" s="39">
        <f t="shared" si="50"/>
        <v>60</v>
      </c>
      <c r="Q37" s="39">
        <f t="shared" si="50"/>
        <v>61</v>
      </c>
      <c r="R37" s="39">
        <f t="shared" si="50"/>
        <v>0</v>
      </c>
      <c r="S37" s="39">
        <f t="shared" si="50"/>
        <v>0</v>
      </c>
      <c r="T37" s="39">
        <f t="shared" si="50"/>
        <v>0</v>
      </c>
      <c r="U37" s="39">
        <f t="shared" si="50"/>
        <v>0</v>
      </c>
      <c r="V37" s="39">
        <f t="shared" si="50"/>
        <v>0</v>
      </c>
      <c r="W37" s="39">
        <f t="shared" si="50"/>
        <v>0</v>
      </c>
      <c r="X37" s="39">
        <f t="shared" si="50"/>
        <v>0</v>
      </c>
      <c r="Y37" s="39">
        <f t="shared" si="50"/>
        <v>0</v>
      </c>
      <c r="Z37" s="39">
        <f t="shared" si="50"/>
        <v>0</v>
      </c>
      <c r="AA37" s="39"/>
      <c r="AB37" s="39"/>
      <c r="AC37" s="39"/>
      <c r="AD37" s="39"/>
      <c r="AE37" s="39"/>
      <c r="AF37" s="39"/>
      <c r="AG37" s="39"/>
      <c r="AH37" s="39"/>
      <c r="AI37" s="39"/>
      <c r="AJ37" s="39"/>
      <c r="AK37" s="39"/>
      <c r="AL37" s="39"/>
      <c r="AM37" s="39"/>
      <c r="AN37" s="39"/>
      <c r="AO37" s="39"/>
      <c r="AP37" s="39"/>
      <c r="AQ37" s="39"/>
      <c r="AR37" s="39"/>
      <c r="AS37" s="39"/>
      <c r="AT37" s="39"/>
      <c r="AU37" s="39"/>
      <c r="AV37" s="39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  <c r="BM37" s="39"/>
      <c r="BN37" s="39"/>
      <c r="BO37" s="39"/>
      <c r="BP37" s="39"/>
      <c r="BQ37" s="39"/>
      <c r="BR37" s="39"/>
      <c r="BS37" s="39"/>
      <c r="BT37" s="39"/>
      <c r="BU37" s="39"/>
      <c r="BV37" s="39"/>
      <c r="BW37" s="39"/>
      <c r="BX37" s="39"/>
      <c r="BY37" s="39"/>
      <c r="BZ37" s="39"/>
      <c r="CA37" s="39"/>
      <c r="CB37" s="39"/>
      <c r="CC37" s="39"/>
      <c r="CD37" s="39"/>
      <c r="CE37" s="39"/>
      <c r="CF37" s="39"/>
      <c r="CG37" s="39"/>
    </row>
    <row r="38" spans="1:109" x14ac:dyDescent="0.2">
      <c r="A38" s="39"/>
      <c r="B38" s="39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39"/>
      <c r="AJ38" s="39"/>
      <c r="AK38" s="39"/>
      <c r="AL38" s="39"/>
      <c r="AM38" s="39"/>
      <c r="AN38" s="39"/>
      <c r="AO38" s="39"/>
      <c r="AP38" s="39"/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  <c r="BP38" s="39"/>
      <c r="BQ38" s="39"/>
      <c r="BR38" s="39"/>
      <c r="BS38" s="39"/>
      <c r="BT38" s="39"/>
      <c r="BU38" s="39"/>
      <c r="BV38" s="39"/>
      <c r="BW38" s="39"/>
      <c r="BX38" s="39"/>
      <c r="BY38" s="39"/>
      <c r="BZ38" s="39"/>
      <c r="CA38" s="39"/>
      <c r="CB38" s="39"/>
      <c r="CC38" s="39"/>
      <c r="CD38" s="39"/>
      <c r="CE38" s="39"/>
      <c r="CF38" s="39"/>
      <c r="CG38" s="39"/>
    </row>
    <row r="39" spans="1:109" ht="15" x14ac:dyDescent="0.3">
      <c r="A39" s="39"/>
      <c r="B39" s="60">
        <v>42370</v>
      </c>
      <c r="C39" s="60">
        <f>B39+31</f>
        <v>42401</v>
      </c>
      <c r="D39" s="60">
        <f>C39+29</f>
        <v>42430</v>
      </c>
      <c r="E39" s="60">
        <f t="shared" ref="E39:L39" si="51">D39+31</f>
        <v>42461</v>
      </c>
      <c r="F39" s="60">
        <f>E39+30</f>
        <v>42491</v>
      </c>
      <c r="G39" s="60">
        <f t="shared" si="51"/>
        <v>42522</v>
      </c>
      <c r="H39" s="60">
        <f>G39+30</f>
        <v>42552</v>
      </c>
      <c r="I39" s="60">
        <f t="shared" si="51"/>
        <v>42583</v>
      </c>
      <c r="J39" s="60">
        <f t="shared" si="51"/>
        <v>42614</v>
      </c>
      <c r="K39" s="60">
        <f>J39+30</f>
        <v>42644</v>
      </c>
      <c r="L39" s="60">
        <f t="shared" si="51"/>
        <v>42675</v>
      </c>
      <c r="M39" s="61">
        <f>L39+30</f>
        <v>42705</v>
      </c>
      <c r="N39" s="39"/>
      <c r="O39" s="61">
        <f>M39+31</f>
        <v>42736</v>
      </c>
      <c r="P39" s="61">
        <f>O39+31</f>
        <v>42767</v>
      </c>
      <c r="Q39" s="61">
        <f>P39+28</f>
        <v>42795</v>
      </c>
      <c r="R39" s="61">
        <f t="shared" ref="R39:Y39" si="52">Q39+31</f>
        <v>42826</v>
      </c>
      <c r="S39" s="61">
        <f>R39+30</f>
        <v>42856</v>
      </c>
      <c r="T39" s="61">
        <f t="shared" si="52"/>
        <v>42887</v>
      </c>
      <c r="U39" s="61">
        <f>T39+30</f>
        <v>42917</v>
      </c>
      <c r="V39" s="61">
        <f t="shared" si="52"/>
        <v>42948</v>
      </c>
      <c r="W39" s="61">
        <f t="shared" si="52"/>
        <v>42979</v>
      </c>
      <c r="X39" s="61">
        <f>W39+30</f>
        <v>43009</v>
      </c>
      <c r="Y39" s="61">
        <f t="shared" si="52"/>
        <v>43040</v>
      </c>
      <c r="Z39" s="61">
        <f>Y39+30</f>
        <v>43070</v>
      </c>
      <c r="AA39" s="39"/>
      <c r="AB39" s="39"/>
      <c r="AC39" s="39"/>
      <c r="AD39" s="39"/>
      <c r="AE39" s="39"/>
      <c r="AF39" s="39"/>
      <c r="AG39" s="39"/>
      <c r="AH39" s="39"/>
      <c r="AI39" s="39"/>
      <c r="AJ39" s="39"/>
      <c r="AK39" s="39"/>
      <c r="AL39" s="61">
        <f>Z39+31</f>
        <v>43101</v>
      </c>
      <c r="AM39" s="61">
        <f>AL39+31</f>
        <v>43132</v>
      </c>
      <c r="AN39" s="61">
        <f>AM39+29</f>
        <v>43161</v>
      </c>
      <c r="AO39" s="61">
        <f t="shared" ref="AO39:AX39" si="53">AN39+31</f>
        <v>43192</v>
      </c>
      <c r="AP39" s="61">
        <f>AO39+30</f>
        <v>43222</v>
      </c>
      <c r="AQ39" s="61">
        <f t="shared" si="53"/>
        <v>43253</v>
      </c>
      <c r="AR39" s="61">
        <f>AQ39+30</f>
        <v>43283</v>
      </c>
      <c r="AS39" s="61">
        <f t="shared" si="53"/>
        <v>43314</v>
      </c>
      <c r="AT39" s="61">
        <f t="shared" si="53"/>
        <v>43345</v>
      </c>
      <c r="AU39" s="61">
        <f>AT39+30</f>
        <v>43375</v>
      </c>
      <c r="AV39" s="61">
        <f t="shared" si="53"/>
        <v>43406</v>
      </c>
      <c r="AW39" s="61">
        <f>AV39+30</f>
        <v>43436</v>
      </c>
      <c r="AX39" s="61">
        <f t="shared" si="53"/>
        <v>43467</v>
      </c>
      <c r="AY39" s="61">
        <f>AX39+31</f>
        <v>43498</v>
      </c>
      <c r="AZ39" s="61">
        <f>AY39+28</f>
        <v>43526</v>
      </c>
      <c r="BA39" s="61">
        <f t="shared" ref="BA39:BJ39" si="54">AZ39+31</f>
        <v>43557</v>
      </c>
      <c r="BB39" s="61">
        <f>BA39+30</f>
        <v>43587</v>
      </c>
      <c r="BC39" s="61">
        <f t="shared" si="54"/>
        <v>43618</v>
      </c>
      <c r="BD39" s="61">
        <f>BC39+30</f>
        <v>43648</v>
      </c>
      <c r="BE39" s="61">
        <f t="shared" si="54"/>
        <v>43679</v>
      </c>
      <c r="BF39" s="61">
        <f t="shared" si="54"/>
        <v>43710</v>
      </c>
      <c r="BG39" s="61">
        <f>BF39+30</f>
        <v>43740</v>
      </c>
      <c r="BH39" s="61">
        <f t="shared" si="54"/>
        <v>43771</v>
      </c>
      <c r="BI39" s="61">
        <f>BH39+30</f>
        <v>43801</v>
      </c>
      <c r="BJ39" s="61">
        <f t="shared" si="54"/>
        <v>43832</v>
      </c>
      <c r="BK39" s="61">
        <f>BJ39+31</f>
        <v>43863</v>
      </c>
      <c r="BL39" s="61">
        <f>BK39+29</f>
        <v>43892</v>
      </c>
      <c r="BM39" s="61">
        <f t="shared" ref="BM39:BV39" si="55">BL39+31</f>
        <v>43923</v>
      </c>
      <c r="BN39" s="61">
        <f>BM39+30</f>
        <v>43953</v>
      </c>
      <c r="BO39" s="61">
        <f t="shared" si="55"/>
        <v>43984</v>
      </c>
      <c r="BP39" s="61">
        <f>BO39+30</f>
        <v>44014</v>
      </c>
      <c r="BQ39" s="61">
        <f t="shared" si="55"/>
        <v>44045</v>
      </c>
      <c r="BR39" s="61">
        <f t="shared" si="55"/>
        <v>44076</v>
      </c>
      <c r="BS39" s="61">
        <f>BR39+30</f>
        <v>44106</v>
      </c>
      <c r="BT39" s="61">
        <f t="shared" si="55"/>
        <v>44137</v>
      </c>
      <c r="BU39" s="61">
        <f>BT39+30</f>
        <v>44167</v>
      </c>
      <c r="BV39" s="61">
        <f t="shared" si="55"/>
        <v>44198</v>
      </c>
      <c r="BW39" s="61">
        <f>BV39+31</f>
        <v>44229</v>
      </c>
      <c r="BX39" s="61">
        <f>BW39+28</f>
        <v>44257</v>
      </c>
      <c r="BY39" s="61">
        <f>BX39+31</f>
        <v>44288</v>
      </c>
      <c r="BZ39" s="61">
        <f>BY39+30</f>
        <v>44318</v>
      </c>
      <c r="CA39" s="61">
        <f>BZ39+31</f>
        <v>44349</v>
      </c>
      <c r="CB39" s="61">
        <f>CA39+30</f>
        <v>44379</v>
      </c>
      <c r="CC39" s="61">
        <f>CB39+31</f>
        <v>44410</v>
      </c>
      <c r="CD39" s="61">
        <f>CC39+31</f>
        <v>44441</v>
      </c>
      <c r="CE39" s="61">
        <f>CD39+30</f>
        <v>44471</v>
      </c>
      <c r="CF39" s="61">
        <f>CE39+31</f>
        <v>44502</v>
      </c>
      <c r="CG39" s="61">
        <f>CF39+30</f>
        <v>44532</v>
      </c>
      <c r="CH39" s="61">
        <f t="shared" ref="CH39" si="56">CG39+31</f>
        <v>44563</v>
      </c>
      <c r="CI39" s="61">
        <f>CH39+31</f>
        <v>44594</v>
      </c>
      <c r="CJ39" s="61">
        <f>CI39+28</f>
        <v>44622</v>
      </c>
      <c r="CK39" s="61">
        <f>CJ39+31</f>
        <v>44653</v>
      </c>
      <c r="CL39" s="61">
        <f>CK39+30</f>
        <v>44683</v>
      </c>
      <c r="CM39" s="61">
        <f>CL39+31</f>
        <v>44714</v>
      </c>
      <c r="CN39" s="61">
        <f>CM39+30</f>
        <v>44744</v>
      </c>
      <c r="CO39" s="61">
        <f>CN39+31</f>
        <v>44775</v>
      </c>
      <c r="CP39" s="61">
        <f>CO39+31</f>
        <v>44806</v>
      </c>
      <c r="CQ39" s="61">
        <f>CP39+30</f>
        <v>44836</v>
      </c>
      <c r="CR39" s="61">
        <f>CQ39+31</f>
        <v>44867</v>
      </c>
      <c r="CS39" s="61">
        <f>CR39+30</f>
        <v>44897</v>
      </c>
      <c r="CT39" s="61">
        <f t="shared" ref="CT39" si="57">CS39+31</f>
        <v>44928</v>
      </c>
      <c r="CU39" s="61">
        <f>CT39+31</f>
        <v>44959</v>
      </c>
      <c r="CV39" s="61">
        <f>CU39+28</f>
        <v>44987</v>
      </c>
      <c r="CW39" s="61">
        <f>CV39+31</f>
        <v>45018</v>
      </c>
      <c r="CX39" s="61">
        <f>CW39+30</f>
        <v>45048</v>
      </c>
      <c r="CY39" s="61">
        <f>CX39+31</f>
        <v>45079</v>
      </c>
      <c r="CZ39" s="61">
        <f>CY39+30</f>
        <v>45109</v>
      </c>
      <c r="DA39" s="61">
        <f>CZ39+31</f>
        <v>45140</v>
      </c>
      <c r="DB39" s="61">
        <f>DA39+31</f>
        <v>45171</v>
      </c>
      <c r="DC39" s="61">
        <f>DB39+30</f>
        <v>45201</v>
      </c>
      <c r="DD39" s="61">
        <f>DC39+31</f>
        <v>45232</v>
      </c>
      <c r="DE39" s="61">
        <f>DD39+30</f>
        <v>45262</v>
      </c>
    </row>
    <row r="40" spans="1:109" ht="15" x14ac:dyDescent="0.3">
      <c r="A40" s="39"/>
      <c r="B40" s="62">
        <v>1</v>
      </c>
      <c r="C40" s="62">
        <f>+B40+1</f>
        <v>2</v>
      </c>
      <c r="D40" s="62">
        <f t="shared" ref="D40:M40" si="58">+C40+1</f>
        <v>3</v>
      </c>
      <c r="E40" s="62">
        <f t="shared" si="58"/>
        <v>4</v>
      </c>
      <c r="F40" s="62">
        <f t="shared" si="58"/>
        <v>5</v>
      </c>
      <c r="G40" s="62">
        <f t="shared" si="58"/>
        <v>6</v>
      </c>
      <c r="H40" s="62">
        <f t="shared" si="58"/>
        <v>7</v>
      </c>
      <c r="I40" s="62">
        <f t="shared" si="58"/>
        <v>8</v>
      </c>
      <c r="J40" s="62">
        <f t="shared" si="58"/>
        <v>9</v>
      </c>
      <c r="K40" s="62">
        <f t="shared" si="58"/>
        <v>10</v>
      </c>
      <c r="L40" s="62">
        <f t="shared" si="58"/>
        <v>11</v>
      </c>
      <c r="M40" s="63">
        <f t="shared" si="58"/>
        <v>12</v>
      </c>
      <c r="N40" s="39"/>
      <c r="O40" s="63">
        <f>+M40+1</f>
        <v>13</v>
      </c>
      <c r="P40" s="63">
        <f t="shared" ref="P40:Z40" si="59">+O40+1</f>
        <v>14</v>
      </c>
      <c r="Q40" s="63">
        <f t="shared" si="59"/>
        <v>15</v>
      </c>
      <c r="R40" s="63">
        <f t="shared" si="59"/>
        <v>16</v>
      </c>
      <c r="S40" s="63">
        <f t="shared" si="59"/>
        <v>17</v>
      </c>
      <c r="T40" s="63">
        <f t="shared" si="59"/>
        <v>18</v>
      </c>
      <c r="U40" s="63">
        <f t="shared" si="59"/>
        <v>19</v>
      </c>
      <c r="V40" s="63">
        <f t="shared" si="59"/>
        <v>20</v>
      </c>
      <c r="W40" s="63">
        <f t="shared" si="59"/>
        <v>21</v>
      </c>
      <c r="X40" s="63">
        <f t="shared" si="59"/>
        <v>22</v>
      </c>
      <c r="Y40" s="63">
        <f t="shared" si="59"/>
        <v>23</v>
      </c>
      <c r="Z40" s="63">
        <f t="shared" si="59"/>
        <v>24</v>
      </c>
      <c r="AA40" s="39"/>
      <c r="AB40" s="39"/>
      <c r="AC40" s="39"/>
      <c r="AD40" s="39"/>
      <c r="AE40" s="39"/>
      <c r="AF40" s="39"/>
      <c r="AG40" s="39"/>
      <c r="AH40" s="39"/>
      <c r="AI40" s="39"/>
      <c r="AJ40" s="39"/>
      <c r="AK40" s="39"/>
      <c r="AL40" s="63">
        <f>+Z40+1</f>
        <v>25</v>
      </c>
      <c r="AM40" s="63">
        <f t="shared" ref="AM40:CG40" si="60">+AL40+1</f>
        <v>26</v>
      </c>
      <c r="AN40" s="63">
        <f t="shared" si="60"/>
        <v>27</v>
      </c>
      <c r="AO40" s="63">
        <f t="shared" si="60"/>
        <v>28</v>
      </c>
      <c r="AP40" s="63">
        <f t="shared" si="60"/>
        <v>29</v>
      </c>
      <c r="AQ40" s="63">
        <f t="shared" si="60"/>
        <v>30</v>
      </c>
      <c r="AR40" s="63">
        <f t="shared" si="60"/>
        <v>31</v>
      </c>
      <c r="AS40" s="63">
        <f t="shared" si="60"/>
        <v>32</v>
      </c>
      <c r="AT40" s="63">
        <f t="shared" si="60"/>
        <v>33</v>
      </c>
      <c r="AU40" s="63">
        <f t="shared" si="60"/>
        <v>34</v>
      </c>
      <c r="AV40" s="63">
        <f t="shared" si="60"/>
        <v>35</v>
      </c>
      <c r="AW40" s="63">
        <f t="shared" si="60"/>
        <v>36</v>
      </c>
      <c r="AX40" s="63">
        <f t="shared" si="60"/>
        <v>37</v>
      </c>
      <c r="AY40" s="63">
        <f t="shared" si="60"/>
        <v>38</v>
      </c>
      <c r="AZ40" s="63">
        <f t="shared" si="60"/>
        <v>39</v>
      </c>
      <c r="BA40" s="63">
        <f t="shared" si="60"/>
        <v>40</v>
      </c>
      <c r="BB40" s="63">
        <f t="shared" si="60"/>
        <v>41</v>
      </c>
      <c r="BC40" s="63">
        <f t="shared" si="60"/>
        <v>42</v>
      </c>
      <c r="BD40" s="63">
        <f t="shared" si="60"/>
        <v>43</v>
      </c>
      <c r="BE40" s="63">
        <f t="shared" si="60"/>
        <v>44</v>
      </c>
      <c r="BF40" s="63">
        <f t="shared" si="60"/>
        <v>45</v>
      </c>
      <c r="BG40" s="63">
        <f t="shared" si="60"/>
        <v>46</v>
      </c>
      <c r="BH40" s="63">
        <f t="shared" si="60"/>
        <v>47</v>
      </c>
      <c r="BI40" s="63">
        <f t="shared" si="60"/>
        <v>48</v>
      </c>
      <c r="BJ40" s="63">
        <f t="shared" si="60"/>
        <v>49</v>
      </c>
      <c r="BK40" s="63">
        <f t="shared" si="60"/>
        <v>50</v>
      </c>
      <c r="BL40" s="63">
        <f t="shared" si="60"/>
        <v>51</v>
      </c>
      <c r="BM40" s="63">
        <f t="shared" si="60"/>
        <v>52</v>
      </c>
      <c r="BN40" s="63">
        <f t="shared" si="60"/>
        <v>53</v>
      </c>
      <c r="BO40" s="63">
        <f t="shared" si="60"/>
        <v>54</v>
      </c>
      <c r="BP40" s="63">
        <f t="shared" si="60"/>
        <v>55</v>
      </c>
      <c r="BQ40" s="63">
        <f t="shared" si="60"/>
        <v>56</v>
      </c>
      <c r="BR40" s="63">
        <f t="shared" si="60"/>
        <v>57</v>
      </c>
      <c r="BS40" s="63">
        <f t="shared" si="60"/>
        <v>58</v>
      </c>
      <c r="BT40" s="63">
        <f t="shared" si="60"/>
        <v>59</v>
      </c>
      <c r="BU40" s="63">
        <f t="shared" si="60"/>
        <v>60</v>
      </c>
      <c r="BV40" s="63">
        <f t="shared" si="60"/>
        <v>61</v>
      </c>
      <c r="BW40" s="63">
        <f t="shared" si="60"/>
        <v>62</v>
      </c>
      <c r="BX40" s="63">
        <f t="shared" si="60"/>
        <v>63</v>
      </c>
      <c r="BY40" s="63">
        <f t="shared" si="60"/>
        <v>64</v>
      </c>
      <c r="BZ40" s="63">
        <f t="shared" si="60"/>
        <v>65</v>
      </c>
      <c r="CA40" s="63">
        <f t="shared" si="60"/>
        <v>66</v>
      </c>
      <c r="CB40" s="63">
        <f t="shared" si="60"/>
        <v>67</v>
      </c>
      <c r="CC40" s="63">
        <f t="shared" si="60"/>
        <v>68</v>
      </c>
      <c r="CD40" s="63">
        <f t="shared" si="60"/>
        <v>69</v>
      </c>
      <c r="CE40" s="63">
        <f t="shared" si="60"/>
        <v>70</v>
      </c>
      <c r="CF40" s="63">
        <f t="shared" si="60"/>
        <v>71</v>
      </c>
      <c r="CG40" s="63">
        <f t="shared" si="60"/>
        <v>72</v>
      </c>
      <c r="CH40" s="63">
        <f t="shared" ref="CH40" si="61">+CG40+1</f>
        <v>73</v>
      </c>
      <c r="CI40" s="63">
        <f t="shared" ref="CI40" si="62">+CH40+1</f>
        <v>74</v>
      </c>
      <c r="CJ40" s="63">
        <f t="shared" ref="CJ40" si="63">+CI40+1</f>
        <v>75</v>
      </c>
      <c r="CK40" s="63">
        <f t="shared" ref="CK40" si="64">+CJ40+1</f>
        <v>76</v>
      </c>
      <c r="CL40" s="63">
        <f t="shared" ref="CL40" si="65">+CK40+1</f>
        <v>77</v>
      </c>
      <c r="CM40" s="63">
        <f t="shared" ref="CM40" si="66">+CL40+1</f>
        <v>78</v>
      </c>
      <c r="CN40" s="63">
        <f t="shared" ref="CN40" si="67">+CM40+1</f>
        <v>79</v>
      </c>
      <c r="CO40" s="63">
        <f t="shared" ref="CO40" si="68">+CN40+1</f>
        <v>80</v>
      </c>
      <c r="CP40" s="63">
        <f t="shared" ref="CP40" si="69">+CO40+1</f>
        <v>81</v>
      </c>
      <c r="CQ40" s="63">
        <f t="shared" ref="CQ40" si="70">+CP40+1</f>
        <v>82</v>
      </c>
      <c r="CR40" s="63">
        <f t="shared" ref="CR40" si="71">+CQ40+1</f>
        <v>83</v>
      </c>
      <c r="CS40" s="63">
        <f t="shared" ref="CS40" si="72">+CR40+1</f>
        <v>84</v>
      </c>
      <c r="CT40" s="63">
        <f t="shared" ref="CT40" si="73">+CS40+1</f>
        <v>85</v>
      </c>
      <c r="CU40" s="63">
        <f t="shared" ref="CU40" si="74">+CT40+1</f>
        <v>86</v>
      </c>
      <c r="CV40" s="63">
        <f t="shared" ref="CV40" si="75">+CU40+1</f>
        <v>87</v>
      </c>
      <c r="CW40" s="63">
        <f t="shared" ref="CW40" si="76">+CV40+1</f>
        <v>88</v>
      </c>
      <c r="CX40" s="63">
        <f t="shared" ref="CX40" si="77">+CW40+1</f>
        <v>89</v>
      </c>
      <c r="CY40" s="63">
        <f t="shared" ref="CY40" si="78">+CX40+1</f>
        <v>90</v>
      </c>
      <c r="CZ40" s="63">
        <f t="shared" ref="CZ40" si="79">+CY40+1</f>
        <v>91</v>
      </c>
      <c r="DA40" s="63">
        <f t="shared" ref="DA40" si="80">+CZ40+1</f>
        <v>92</v>
      </c>
      <c r="DB40" s="63">
        <f t="shared" ref="DB40" si="81">+DA40+1</f>
        <v>93</v>
      </c>
      <c r="DC40" s="63">
        <f t="shared" ref="DC40" si="82">+DB40+1</f>
        <v>94</v>
      </c>
      <c r="DD40" s="63">
        <f t="shared" ref="DD40" si="83">+DC40+1</f>
        <v>95</v>
      </c>
      <c r="DE40" s="63">
        <f t="shared" ref="DE40" si="84">+DD40+1</f>
        <v>96</v>
      </c>
    </row>
    <row r="41" spans="1:109" x14ac:dyDescent="0.2">
      <c r="A41" s="39"/>
      <c r="B41" s="33">
        <f t="shared" ref="B41:M41" si="85">B10</f>
        <v>0</v>
      </c>
      <c r="C41" s="33">
        <f t="shared" si="85"/>
        <v>0</v>
      </c>
      <c r="D41" s="33">
        <f t="shared" si="85"/>
        <v>0</v>
      </c>
      <c r="E41" s="33">
        <f t="shared" si="85"/>
        <v>0</v>
      </c>
      <c r="F41" s="33">
        <f t="shared" si="85"/>
        <v>0</v>
      </c>
      <c r="G41" s="33">
        <f t="shared" si="85"/>
        <v>0</v>
      </c>
      <c r="H41" s="33">
        <f t="shared" si="85"/>
        <v>0</v>
      </c>
      <c r="I41" s="33">
        <f t="shared" si="85"/>
        <v>0</v>
      </c>
      <c r="J41" s="33">
        <f t="shared" si="85"/>
        <v>0</v>
      </c>
      <c r="K41" s="33">
        <f t="shared" si="85"/>
        <v>1851.851851851852</v>
      </c>
      <c r="L41" s="33">
        <f t="shared" si="85"/>
        <v>1851.851851851852</v>
      </c>
      <c r="M41" s="33">
        <f t="shared" si="85"/>
        <v>1851.851851851852</v>
      </c>
      <c r="N41" s="39"/>
      <c r="O41" s="33">
        <f t="shared" ref="O41:Z41" si="86">O10</f>
        <v>1851.851851851852</v>
      </c>
      <c r="P41" s="33">
        <f t="shared" si="86"/>
        <v>1851.851851851852</v>
      </c>
      <c r="Q41" s="33">
        <f t="shared" si="86"/>
        <v>1851.851851851852</v>
      </c>
      <c r="R41" s="33">
        <f t="shared" si="86"/>
        <v>1851.851851851852</v>
      </c>
      <c r="S41" s="33">
        <f t="shared" si="86"/>
        <v>1851.851851851852</v>
      </c>
      <c r="T41" s="33">
        <f t="shared" si="86"/>
        <v>1851.851851851852</v>
      </c>
      <c r="U41" s="33">
        <f t="shared" si="86"/>
        <v>1851.851851851852</v>
      </c>
      <c r="V41" s="33">
        <f t="shared" si="86"/>
        <v>1851.851851851852</v>
      </c>
      <c r="W41" s="33">
        <f t="shared" si="86"/>
        <v>1851.851851851852</v>
      </c>
      <c r="X41" s="33">
        <f t="shared" si="86"/>
        <v>1851.851851851852</v>
      </c>
      <c r="Y41" s="33">
        <f t="shared" si="86"/>
        <v>1851.851851851852</v>
      </c>
      <c r="Z41" s="33">
        <f t="shared" si="86"/>
        <v>1851.851851851852</v>
      </c>
      <c r="AA41" s="39"/>
      <c r="AB41" s="39"/>
      <c r="AC41" s="39"/>
      <c r="AD41" s="39"/>
      <c r="AE41" s="39"/>
      <c r="AF41" s="39"/>
      <c r="AG41" s="39"/>
      <c r="AH41" s="39"/>
      <c r="AI41" s="39"/>
      <c r="AJ41" s="39"/>
      <c r="AK41" s="39"/>
      <c r="AL41" s="33">
        <f t="shared" ref="AL41:AW41" si="87">B18</f>
        <v>1851.851851851852</v>
      </c>
      <c r="AM41" s="33">
        <f t="shared" si="87"/>
        <v>1851.851851851852</v>
      </c>
      <c r="AN41" s="33">
        <f t="shared" si="87"/>
        <v>1851.851851851852</v>
      </c>
      <c r="AO41" s="33">
        <f t="shared" si="87"/>
        <v>1851.851851851852</v>
      </c>
      <c r="AP41" s="33">
        <f t="shared" si="87"/>
        <v>1851.851851851852</v>
      </c>
      <c r="AQ41" s="33">
        <f t="shared" si="87"/>
        <v>1851.851851851852</v>
      </c>
      <c r="AR41" s="33">
        <f t="shared" si="87"/>
        <v>1851.851851851852</v>
      </c>
      <c r="AS41" s="33">
        <f t="shared" si="87"/>
        <v>1851.851851851852</v>
      </c>
      <c r="AT41" s="33">
        <f t="shared" si="87"/>
        <v>1851.851851851852</v>
      </c>
      <c r="AU41" s="33">
        <f t="shared" si="87"/>
        <v>1851.851851851852</v>
      </c>
      <c r="AV41" s="33">
        <f t="shared" si="87"/>
        <v>1851.851851851852</v>
      </c>
      <c r="AW41" s="33">
        <f t="shared" si="87"/>
        <v>1851.851851851852</v>
      </c>
      <c r="AX41" s="33">
        <f t="shared" ref="AX41:BI41" si="88">O18</f>
        <v>1851.851851851852</v>
      </c>
      <c r="AY41" s="33">
        <f t="shared" si="88"/>
        <v>1851.851851851852</v>
      </c>
      <c r="AZ41" s="33">
        <f t="shared" si="88"/>
        <v>1851.851851851852</v>
      </c>
      <c r="BA41" s="33">
        <f t="shared" si="88"/>
        <v>1851.851851851852</v>
      </c>
      <c r="BB41" s="33">
        <f t="shared" si="88"/>
        <v>1851.851851851852</v>
      </c>
      <c r="BC41" s="33">
        <f t="shared" si="88"/>
        <v>1851.851851851852</v>
      </c>
      <c r="BD41" s="33">
        <f t="shared" si="88"/>
        <v>1851.851851851852</v>
      </c>
      <c r="BE41" s="33">
        <f t="shared" si="88"/>
        <v>1851.851851851852</v>
      </c>
      <c r="BF41" s="33">
        <f t="shared" si="88"/>
        <v>1851.851851851852</v>
      </c>
      <c r="BG41" s="33">
        <f t="shared" si="88"/>
        <v>1851.851851851852</v>
      </c>
      <c r="BH41" s="33">
        <f t="shared" si="88"/>
        <v>1851.851851851852</v>
      </c>
      <c r="BI41" s="33">
        <f t="shared" si="88"/>
        <v>1851.851851851852</v>
      </c>
      <c r="BJ41" s="33">
        <f t="shared" ref="BJ41:BU41" si="89">B26</f>
        <v>1851.851851851852</v>
      </c>
      <c r="BK41" s="33">
        <f t="shared" si="89"/>
        <v>1851.851851851852</v>
      </c>
      <c r="BL41" s="33">
        <f t="shared" si="89"/>
        <v>1851.851851851852</v>
      </c>
      <c r="BM41" s="33">
        <f t="shared" si="89"/>
        <v>1851.851851851852</v>
      </c>
      <c r="BN41" s="33">
        <f t="shared" si="89"/>
        <v>1851.851851851852</v>
      </c>
      <c r="BO41" s="33">
        <f t="shared" si="89"/>
        <v>1851.851851851852</v>
      </c>
      <c r="BP41" s="33">
        <f t="shared" si="89"/>
        <v>1851.851851851852</v>
      </c>
      <c r="BQ41" s="33">
        <f t="shared" si="89"/>
        <v>1851.851851851852</v>
      </c>
      <c r="BR41" s="33">
        <f t="shared" si="89"/>
        <v>1851.851851851852</v>
      </c>
      <c r="BS41" s="33">
        <f t="shared" si="89"/>
        <v>1851.851851851852</v>
      </c>
      <c r="BT41" s="33">
        <f t="shared" si="89"/>
        <v>1851.851851851852</v>
      </c>
      <c r="BU41" s="33">
        <f t="shared" si="89"/>
        <v>1851.851851851852</v>
      </c>
      <c r="BV41" s="33">
        <f t="shared" ref="BV41:CA41" si="90">O26</f>
        <v>1851.851851851852</v>
      </c>
      <c r="BW41" s="33">
        <f t="shared" si="90"/>
        <v>1851.851851851852</v>
      </c>
      <c r="BX41" s="33">
        <f t="shared" si="90"/>
        <v>1851.851851851852</v>
      </c>
      <c r="BY41" s="33">
        <f t="shared" si="90"/>
        <v>0</v>
      </c>
      <c r="BZ41" s="33">
        <f t="shared" si="90"/>
        <v>0</v>
      </c>
      <c r="CA41" s="33">
        <f t="shared" si="90"/>
        <v>0</v>
      </c>
      <c r="CB41" s="33">
        <f t="shared" ref="CB41" si="91">U26</f>
        <v>0</v>
      </c>
      <c r="CC41" s="33">
        <f t="shared" ref="CC41" si="92">V26</f>
        <v>0</v>
      </c>
      <c r="CD41" s="33">
        <f t="shared" ref="CD41" si="93">W26</f>
        <v>0</v>
      </c>
      <c r="CE41" s="33">
        <f t="shared" ref="CE41" si="94">X26</f>
        <v>0</v>
      </c>
      <c r="CF41" s="33">
        <f t="shared" ref="CF41" si="95">Y26</f>
        <v>0</v>
      </c>
      <c r="CG41" s="33">
        <f t="shared" ref="CG41" si="96">Z26</f>
        <v>0</v>
      </c>
      <c r="CH41" s="33">
        <f>+B51</f>
        <v>0</v>
      </c>
      <c r="CI41" s="33">
        <f t="shared" ref="CI41:CS41" si="97">+C51</f>
        <v>0</v>
      </c>
      <c r="CJ41" s="33">
        <f t="shared" si="97"/>
        <v>0</v>
      </c>
      <c r="CK41" s="33">
        <f t="shared" si="97"/>
        <v>0</v>
      </c>
      <c r="CL41" s="33">
        <f t="shared" si="97"/>
        <v>0</v>
      </c>
      <c r="CM41" s="33">
        <f t="shared" si="97"/>
        <v>0</v>
      </c>
      <c r="CN41" s="33">
        <f t="shared" si="97"/>
        <v>0</v>
      </c>
      <c r="CO41" s="33">
        <f t="shared" si="97"/>
        <v>0</v>
      </c>
      <c r="CP41" s="33">
        <f t="shared" si="97"/>
        <v>0</v>
      </c>
      <c r="CQ41" s="33">
        <f t="shared" si="97"/>
        <v>0</v>
      </c>
      <c r="CR41" s="33">
        <f t="shared" si="97"/>
        <v>0</v>
      </c>
      <c r="CS41" s="33">
        <f t="shared" si="97"/>
        <v>0</v>
      </c>
      <c r="CT41" s="33">
        <f t="shared" ref="CT41" si="98">AM26</f>
        <v>0</v>
      </c>
      <c r="CU41" s="33">
        <f t="shared" ref="CU41" si="99">AN26</f>
        <v>0</v>
      </c>
      <c r="CV41" s="33">
        <f t="shared" ref="CV41" si="100">AO26</f>
        <v>0</v>
      </c>
      <c r="CW41" s="33">
        <f t="shared" ref="CW41" si="101">AP26</f>
        <v>0</v>
      </c>
      <c r="CX41" s="33">
        <f t="shared" ref="CX41" si="102">AQ26</f>
        <v>0</v>
      </c>
      <c r="CY41" s="33">
        <f t="shared" ref="CY41" si="103">AR26</f>
        <v>0</v>
      </c>
      <c r="CZ41" s="33">
        <f t="shared" ref="CZ41" si="104">AS26</f>
        <v>0</v>
      </c>
      <c r="DA41" s="33">
        <f t="shared" ref="DA41" si="105">AT26</f>
        <v>0</v>
      </c>
      <c r="DB41" s="33">
        <f t="shared" ref="DB41" si="106">AU26</f>
        <v>0</v>
      </c>
      <c r="DC41" s="33">
        <f t="shared" ref="DC41" si="107">AV26</f>
        <v>0</v>
      </c>
      <c r="DD41" s="33">
        <f t="shared" ref="DD41" si="108">AW26</f>
        <v>0</v>
      </c>
      <c r="DE41" s="33">
        <f t="shared" ref="DE41" si="109">AX26</f>
        <v>0</v>
      </c>
    </row>
    <row r="42" spans="1:109" x14ac:dyDescent="0.2">
      <c r="A42" s="42" t="s">
        <v>355</v>
      </c>
      <c r="B42" s="33">
        <f t="shared" ref="B42:L42" si="110">IF(B43&gt;0,SUM(C41:O41),0)</f>
        <v>0</v>
      </c>
      <c r="C42" s="33">
        <f t="shared" si="110"/>
        <v>0</v>
      </c>
      <c r="D42" s="33">
        <f t="shared" si="110"/>
        <v>11111.111111111111</v>
      </c>
      <c r="E42" s="33">
        <f t="shared" si="110"/>
        <v>12962.962962962964</v>
      </c>
      <c r="F42" s="33">
        <f t="shared" si="110"/>
        <v>14814.814814814816</v>
      </c>
      <c r="G42" s="33">
        <f t="shared" si="110"/>
        <v>16666.666666666668</v>
      </c>
      <c r="H42" s="33">
        <f t="shared" si="110"/>
        <v>18518.518518518518</v>
      </c>
      <c r="I42" s="33">
        <f t="shared" si="110"/>
        <v>20370.370370370369</v>
      </c>
      <c r="J42" s="33">
        <f t="shared" si="110"/>
        <v>22222.222222222219</v>
      </c>
      <c r="K42" s="33">
        <f t="shared" si="110"/>
        <v>22222.222222222219</v>
      </c>
      <c r="L42" s="33">
        <f t="shared" si="110"/>
        <v>22222.222222222219</v>
      </c>
      <c r="M42" s="33">
        <f>IF(M43&gt;0,SUM(O41:Z41),0)</f>
        <v>22222.222222222219</v>
      </c>
      <c r="N42" s="33">
        <f>+M42</f>
        <v>22222.222222222219</v>
      </c>
      <c r="O42" s="33">
        <f t="shared" ref="O42:Y42" si="111">IF(O43&gt;0,SUM(P41:AL41),0)</f>
        <v>22222.222222222219</v>
      </c>
      <c r="P42" s="33">
        <f t="shared" si="111"/>
        <v>22222.222222222219</v>
      </c>
      <c r="Q42" s="33">
        <f t="shared" si="111"/>
        <v>22222.222222222219</v>
      </c>
      <c r="R42" s="33">
        <f t="shared" si="111"/>
        <v>22222.222222222219</v>
      </c>
      <c r="S42" s="33">
        <f t="shared" si="111"/>
        <v>22222.222222222219</v>
      </c>
      <c r="T42" s="33">
        <f t="shared" si="111"/>
        <v>22222.222222222219</v>
      </c>
      <c r="U42" s="33">
        <f t="shared" si="111"/>
        <v>22222.222222222219</v>
      </c>
      <c r="V42" s="33">
        <f t="shared" si="111"/>
        <v>22222.222222222219</v>
      </c>
      <c r="W42" s="33">
        <f t="shared" si="111"/>
        <v>22222.222222222219</v>
      </c>
      <c r="X42" s="33">
        <f t="shared" si="111"/>
        <v>22222.222222222219</v>
      </c>
      <c r="Y42" s="33">
        <f t="shared" si="111"/>
        <v>22222.222222222219</v>
      </c>
      <c r="Z42" s="33">
        <f>IF(Z43&gt;0,SUM(AB41:AW41),0)</f>
        <v>22222.222222222219</v>
      </c>
      <c r="AA42" s="33">
        <f>+Z42</f>
        <v>22222.222222222219</v>
      </c>
      <c r="AB42" s="33">
        <f>+N42</f>
        <v>22222.222222222219</v>
      </c>
      <c r="AC42" s="33">
        <f>+AA42</f>
        <v>22222.222222222219</v>
      </c>
      <c r="AD42" s="33">
        <f>+AW42</f>
        <v>22222.222222222219</v>
      </c>
      <c r="AE42" s="33">
        <f>+BI42</f>
        <v>22222.222222222219</v>
      </c>
      <c r="AF42" s="33">
        <f>+BU42</f>
        <v>5555.5555555555557</v>
      </c>
      <c r="AG42" s="33">
        <f>+CG42</f>
        <v>0</v>
      </c>
      <c r="AH42" s="33">
        <f>+CS42</f>
        <v>0</v>
      </c>
      <c r="AI42" s="39"/>
      <c r="AJ42" s="39"/>
      <c r="AK42" s="39"/>
      <c r="AL42" s="33">
        <f t="shared" ref="AL42:BS42" si="112">IF(AL43&gt;0,SUM(AM41:AX41),0)</f>
        <v>22222.222222222219</v>
      </c>
      <c r="AM42" s="33">
        <f t="shared" si="112"/>
        <v>22222.222222222219</v>
      </c>
      <c r="AN42" s="33">
        <f t="shared" si="112"/>
        <v>22222.222222222219</v>
      </c>
      <c r="AO42" s="33">
        <f t="shared" si="112"/>
        <v>22222.222222222219</v>
      </c>
      <c r="AP42" s="33">
        <f t="shared" si="112"/>
        <v>22222.222222222219</v>
      </c>
      <c r="AQ42" s="33">
        <f t="shared" si="112"/>
        <v>22222.222222222219</v>
      </c>
      <c r="AR42" s="33">
        <f t="shared" si="112"/>
        <v>22222.222222222219</v>
      </c>
      <c r="AS42" s="33">
        <f t="shared" si="112"/>
        <v>22222.222222222219</v>
      </c>
      <c r="AT42" s="33">
        <f t="shared" si="112"/>
        <v>22222.222222222219</v>
      </c>
      <c r="AU42" s="33">
        <f t="shared" si="112"/>
        <v>22222.222222222219</v>
      </c>
      <c r="AV42" s="33">
        <f t="shared" si="112"/>
        <v>22222.222222222219</v>
      </c>
      <c r="AW42" s="33">
        <f t="shared" si="112"/>
        <v>22222.222222222219</v>
      </c>
      <c r="AX42" s="33">
        <f t="shared" si="112"/>
        <v>22222.222222222219</v>
      </c>
      <c r="AY42" s="33">
        <f t="shared" si="112"/>
        <v>22222.222222222219</v>
      </c>
      <c r="AZ42" s="33">
        <f t="shared" si="112"/>
        <v>22222.222222222219</v>
      </c>
      <c r="BA42" s="33">
        <f t="shared" si="112"/>
        <v>22222.222222222219</v>
      </c>
      <c r="BB42" s="33">
        <f t="shared" si="112"/>
        <v>22222.222222222219</v>
      </c>
      <c r="BC42" s="33">
        <f t="shared" si="112"/>
        <v>22222.222222222219</v>
      </c>
      <c r="BD42" s="33">
        <f t="shared" si="112"/>
        <v>22222.222222222219</v>
      </c>
      <c r="BE42" s="33">
        <f t="shared" si="112"/>
        <v>22222.222222222219</v>
      </c>
      <c r="BF42" s="33">
        <f t="shared" si="112"/>
        <v>22222.222222222219</v>
      </c>
      <c r="BG42" s="33">
        <f t="shared" si="112"/>
        <v>22222.222222222219</v>
      </c>
      <c r="BH42" s="33">
        <f t="shared" si="112"/>
        <v>22222.222222222219</v>
      </c>
      <c r="BI42" s="33">
        <f t="shared" si="112"/>
        <v>22222.222222222219</v>
      </c>
      <c r="BJ42" s="33">
        <f t="shared" si="112"/>
        <v>22222.222222222219</v>
      </c>
      <c r="BK42" s="33">
        <f t="shared" si="112"/>
        <v>22222.222222222219</v>
      </c>
      <c r="BL42" s="33">
        <f t="shared" si="112"/>
        <v>22222.222222222219</v>
      </c>
      <c r="BM42" s="33">
        <f t="shared" si="112"/>
        <v>20370.370370370369</v>
      </c>
      <c r="BN42" s="33">
        <f t="shared" si="112"/>
        <v>18518.518518518518</v>
      </c>
      <c r="BO42" s="33">
        <f t="shared" si="112"/>
        <v>16666.666666666668</v>
      </c>
      <c r="BP42" s="33">
        <f t="shared" si="112"/>
        <v>14814.814814814816</v>
      </c>
      <c r="BQ42" s="33">
        <f t="shared" si="112"/>
        <v>12962.962962962964</v>
      </c>
      <c r="BR42" s="33">
        <f t="shared" si="112"/>
        <v>11111.111111111111</v>
      </c>
      <c r="BS42" s="33">
        <f t="shared" si="112"/>
        <v>9259.2592592592591</v>
      </c>
      <c r="BT42" s="33">
        <f t="shared" ref="BT42" si="113">IF(BT43&gt;0,SUM(BU41:CF41),0)</f>
        <v>7407.4074074074078</v>
      </c>
      <c r="BU42" s="33">
        <f t="shared" ref="BU42" si="114">IF(BU43&gt;0,SUM(BV41:CG41),0)</f>
        <v>5555.5555555555557</v>
      </c>
      <c r="BV42" s="33">
        <f t="shared" ref="BV42" si="115">IF(BV43&gt;0,SUM(BW41:CH41),0)</f>
        <v>3703.7037037037039</v>
      </c>
      <c r="BW42" s="33">
        <f t="shared" ref="BW42" si="116">IF(BW43&gt;0,SUM(BX41:CI41),0)</f>
        <v>1851.851851851852</v>
      </c>
      <c r="BX42" s="33">
        <f t="shared" ref="BX42" si="117">IF(BX43&gt;0,SUM(BY41:CJ41),0)</f>
        <v>0</v>
      </c>
      <c r="BY42" s="33">
        <f t="shared" ref="BY42" si="118">IF(BY43&gt;0,SUM(BZ41:CK41),0)</f>
        <v>0</v>
      </c>
      <c r="BZ42" s="33">
        <f t="shared" ref="BZ42" si="119">IF(BZ43&gt;0,SUM(CA41:CL41),0)</f>
        <v>0</v>
      </c>
      <c r="CA42" s="33">
        <f t="shared" ref="CA42" si="120">IF(CA43&gt;0,SUM(CB41:CM41),0)</f>
        <v>0</v>
      </c>
      <c r="CB42" s="33">
        <f t="shared" ref="CB42" si="121">IF(CB43&gt;0,SUM(CC41:CN41),0)</f>
        <v>0</v>
      </c>
      <c r="CC42" s="33">
        <f t="shared" ref="CC42" si="122">IF(CC43&gt;0,SUM(CD41:CO41),0)</f>
        <v>0</v>
      </c>
      <c r="CD42" s="33">
        <f t="shared" ref="CD42" si="123">IF(CD43&gt;0,SUM(CE41:CP41),0)</f>
        <v>0</v>
      </c>
      <c r="CE42" s="33">
        <f t="shared" ref="CE42" si="124">IF(CE43&gt;0,SUM(CF41:CQ41),0)</f>
        <v>0</v>
      </c>
      <c r="CF42" s="33">
        <f t="shared" ref="CF42" si="125">IF(CF43&gt;0,SUM(CG41:CR41),0)</f>
        <v>0</v>
      </c>
      <c r="CG42" s="33">
        <f t="shared" ref="CG42" si="126">IF(CG43&gt;0,SUM(CH41:CS41),0)</f>
        <v>0</v>
      </c>
      <c r="CH42" s="33">
        <f t="shared" ref="CH42" si="127">IF(CH43&gt;0,SUM(CI41:CT41),0)</f>
        <v>0</v>
      </c>
      <c r="CI42" s="33">
        <f t="shared" ref="CI42" si="128">IF(CI43&gt;0,SUM(CJ41:CU41),0)</f>
        <v>0</v>
      </c>
      <c r="CJ42" s="33">
        <f t="shared" ref="CJ42" si="129">IF(CJ43&gt;0,SUM(CK41:CV41),0)</f>
        <v>0</v>
      </c>
      <c r="CK42" s="33">
        <f t="shared" ref="CK42" si="130">IF(CK43&gt;0,SUM(CL41:CW41),0)</f>
        <v>0</v>
      </c>
      <c r="CL42" s="33">
        <f t="shared" ref="CL42" si="131">IF(CL43&gt;0,SUM(CM41:CX41),0)</f>
        <v>0</v>
      </c>
      <c r="CM42" s="33">
        <f t="shared" ref="CM42" si="132">IF(CM43&gt;0,SUM(CN41:CY41),0)</f>
        <v>0</v>
      </c>
      <c r="CN42" s="33">
        <f t="shared" ref="CN42" si="133">IF(CN43&gt;0,SUM(CO41:CZ41),0)</f>
        <v>0</v>
      </c>
      <c r="CO42" s="33">
        <f t="shared" ref="CO42" si="134">IF(CO43&gt;0,SUM(CP41:DA41),0)</f>
        <v>0</v>
      </c>
      <c r="CP42" s="33">
        <f t="shared" ref="CP42" si="135">IF(CP43&gt;0,SUM(CQ41:DB41),0)</f>
        <v>0</v>
      </c>
      <c r="CQ42" s="33">
        <f t="shared" ref="CQ42" si="136">IF(CQ43&gt;0,SUM(CR41:DC41),0)</f>
        <v>0</v>
      </c>
      <c r="CR42" s="33">
        <f t="shared" ref="CR42" si="137">IF(CR43&gt;0,SUM(CS41:DD41),0)</f>
        <v>0</v>
      </c>
      <c r="CS42" s="33">
        <f t="shared" ref="CS42" si="138">IF(CS43&gt;0,SUM(CT41:DE41),0)</f>
        <v>0</v>
      </c>
      <c r="CT42" s="33">
        <f t="shared" ref="CT42" si="139">IF(CT43&gt;0,SUM(CU41:DF41),0)</f>
        <v>0</v>
      </c>
      <c r="CU42" s="33">
        <f t="shared" ref="CU42" si="140">IF(CU43&gt;0,SUM(CV41:DG41),0)</f>
        <v>0</v>
      </c>
      <c r="CV42" s="33">
        <f t="shared" ref="CV42" si="141">IF(CV43&gt;0,SUM(CW41:DH41),0)</f>
        <v>0</v>
      </c>
      <c r="CW42" s="33">
        <f t="shared" ref="CW42" si="142">IF(CW43&gt;0,SUM(CX41:DI41),0)</f>
        <v>0</v>
      </c>
      <c r="CX42" s="33">
        <f t="shared" ref="CX42" si="143">IF(CX43&gt;0,SUM(CY41:DJ41),0)</f>
        <v>0</v>
      </c>
      <c r="CY42" s="33">
        <f t="shared" ref="CY42" si="144">IF(CY43&gt;0,SUM(CZ41:DK41),0)</f>
        <v>0</v>
      </c>
      <c r="CZ42" s="33">
        <f t="shared" ref="CZ42" si="145">IF(CZ43&gt;0,SUM(DA41:DL41),0)</f>
        <v>0</v>
      </c>
      <c r="DA42" s="33">
        <f t="shared" ref="DA42" si="146">IF(DA43&gt;0,SUM(DB41:DM41),0)</f>
        <v>0</v>
      </c>
      <c r="DB42" s="33">
        <f t="shared" ref="DB42" si="147">IF(DB43&gt;0,SUM(DC41:DN41),0)</f>
        <v>0</v>
      </c>
      <c r="DC42" s="33">
        <f t="shared" ref="DC42" si="148">IF(DC43&gt;0,SUM(DD41:DO41),0)</f>
        <v>0</v>
      </c>
      <c r="DD42" s="33">
        <f t="shared" ref="DD42" si="149">IF(DD43&gt;0,SUM(DE41:DP41),0)</f>
        <v>0</v>
      </c>
      <c r="DE42" s="33">
        <f t="shared" ref="DE42" si="150">IF(DE43&gt;0,SUM(DF41:DQ41),0)</f>
        <v>0</v>
      </c>
    </row>
    <row r="43" spans="1:109" x14ac:dyDescent="0.2">
      <c r="A43" s="42" t="s">
        <v>45</v>
      </c>
      <c r="B43" s="33">
        <f>+B8</f>
        <v>0</v>
      </c>
      <c r="C43" s="33">
        <f>+C8</f>
        <v>0</v>
      </c>
      <c r="D43" s="33">
        <f>+D8</f>
        <v>100000</v>
      </c>
      <c r="E43" s="33">
        <f t="shared" ref="E43:M43" si="151">+E12</f>
        <v>100000</v>
      </c>
      <c r="F43" s="33">
        <f t="shared" si="151"/>
        <v>100000</v>
      </c>
      <c r="G43" s="33">
        <f t="shared" si="151"/>
        <v>100000</v>
      </c>
      <c r="H43" s="33">
        <f t="shared" si="151"/>
        <v>100000</v>
      </c>
      <c r="I43" s="33">
        <f t="shared" si="151"/>
        <v>100000</v>
      </c>
      <c r="J43" s="33">
        <f>+J12</f>
        <v>100000</v>
      </c>
      <c r="K43" s="33">
        <f t="shared" si="151"/>
        <v>98148.148148148146</v>
      </c>
      <c r="L43" s="33">
        <f t="shared" si="151"/>
        <v>96296.296296296292</v>
      </c>
      <c r="M43" s="33">
        <f t="shared" si="151"/>
        <v>94444.444444444438</v>
      </c>
      <c r="N43" s="33"/>
      <c r="O43" s="33">
        <f>+O12</f>
        <v>92592.592592592584</v>
      </c>
      <c r="P43" s="33">
        <f t="shared" ref="P43:Z43" si="152">+P12</f>
        <v>90740.74074074073</v>
      </c>
      <c r="Q43" s="33">
        <f t="shared" si="152"/>
        <v>88888.888888888876</v>
      </c>
      <c r="R43" s="33">
        <f t="shared" si="152"/>
        <v>87037.037037037022</v>
      </c>
      <c r="S43" s="33">
        <f t="shared" si="152"/>
        <v>85185.185185185168</v>
      </c>
      <c r="T43" s="33">
        <f t="shared" si="152"/>
        <v>83333.333333333314</v>
      </c>
      <c r="U43" s="33">
        <f t="shared" si="152"/>
        <v>81481.48148148146</v>
      </c>
      <c r="V43" s="33">
        <f t="shared" si="152"/>
        <v>79629.629629629606</v>
      </c>
      <c r="W43" s="33">
        <f t="shared" si="152"/>
        <v>77777.777777777752</v>
      </c>
      <c r="X43" s="33">
        <f t="shared" si="152"/>
        <v>75925.925925925898</v>
      </c>
      <c r="Y43" s="33">
        <f t="shared" si="152"/>
        <v>74074.074074074044</v>
      </c>
      <c r="Z43" s="33">
        <f t="shared" si="152"/>
        <v>72222.22222222219</v>
      </c>
      <c r="AA43" s="33"/>
      <c r="AB43" s="33"/>
      <c r="AC43" s="33"/>
      <c r="AD43" s="33"/>
      <c r="AE43" s="33"/>
      <c r="AF43" s="33"/>
      <c r="AG43" s="33"/>
      <c r="AH43" s="39"/>
      <c r="AI43" s="39"/>
      <c r="AJ43" s="39"/>
      <c r="AK43" s="39"/>
      <c r="AL43" s="33">
        <f>+B20</f>
        <v>70370.370370370336</v>
      </c>
      <c r="AM43" s="33">
        <f t="shared" ref="AM43:AW43" si="153">+C20</f>
        <v>68518.518518518482</v>
      </c>
      <c r="AN43" s="33">
        <f t="shared" si="153"/>
        <v>66666.666666666628</v>
      </c>
      <c r="AO43" s="33">
        <f t="shared" si="153"/>
        <v>64814.814814814774</v>
      </c>
      <c r="AP43" s="33">
        <f t="shared" si="153"/>
        <v>62962.96296296292</v>
      </c>
      <c r="AQ43" s="33">
        <f t="shared" si="153"/>
        <v>61111.111111111066</v>
      </c>
      <c r="AR43" s="33">
        <f t="shared" si="153"/>
        <v>59259.259259259212</v>
      </c>
      <c r="AS43" s="33">
        <f t="shared" si="153"/>
        <v>57407.407407407358</v>
      </c>
      <c r="AT43" s="33">
        <f t="shared" si="153"/>
        <v>55555.555555555504</v>
      </c>
      <c r="AU43" s="33">
        <f t="shared" si="153"/>
        <v>53703.70370370365</v>
      </c>
      <c r="AV43" s="33">
        <f t="shared" si="153"/>
        <v>51851.851851851796</v>
      </c>
      <c r="AW43" s="33">
        <f t="shared" si="153"/>
        <v>49999.999999999942</v>
      </c>
      <c r="AX43" s="33">
        <f>+O20</f>
        <v>48148.148148148088</v>
      </c>
      <c r="AY43" s="33">
        <f t="shared" ref="AY43:BI43" si="154">+P20</f>
        <v>46296.296296296234</v>
      </c>
      <c r="AZ43" s="33">
        <f t="shared" si="154"/>
        <v>44444.44444444438</v>
      </c>
      <c r="BA43" s="33">
        <f t="shared" si="154"/>
        <v>42592.592592592526</v>
      </c>
      <c r="BB43" s="33">
        <f t="shared" si="154"/>
        <v>40740.740740740672</v>
      </c>
      <c r="BC43" s="33">
        <f t="shared" si="154"/>
        <v>38888.888888888818</v>
      </c>
      <c r="BD43" s="33">
        <f t="shared" si="154"/>
        <v>37037.037037036964</v>
      </c>
      <c r="BE43" s="33">
        <f t="shared" si="154"/>
        <v>35185.18518518511</v>
      </c>
      <c r="BF43" s="33">
        <f t="shared" si="154"/>
        <v>33333.333333333256</v>
      </c>
      <c r="BG43" s="33">
        <f t="shared" si="154"/>
        <v>31481.481481481405</v>
      </c>
      <c r="BH43" s="33">
        <f t="shared" si="154"/>
        <v>29629.629629629555</v>
      </c>
      <c r="BI43" s="33">
        <f t="shared" si="154"/>
        <v>27777.777777777705</v>
      </c>
      <c r="BJ43" s="33">
        <f>+B28</f>
        <v>25925.925925925854</v>
      </c>
      <c r="BK43" s="33">
        <f t="shared" ref="BK43:BU43" si="155">+C28</f>
        <v>24074.074074074004</v>
      </c>
      <c r="BL43" s="33">
        <f t="shared" si="155"/>
        <v>22222.222222222154</v>
      </c>
      <c r="BM43" s="33">
        <f t="shared" si="155"/>
        <v>20370.370370370303</v>
      </c>
      <c r="BN43" s="33">
        <f t="shared" si="155"/>
        <v>18518.518518518453</v>
      </c>
      <c r="BO43" s="33">
        <f t="shared" si="155"/>
        <v>16666.666666666602</v>
      </c>
      <c r="BP43" s="33">
        <f t="shared" si="155"/>
        <v>14814.81481481475</v>
      </c>
      <c r="BQ43" s="33">
        <f t="shared" si="155"/>
        <v>12962.962962962898</v>
      </c>
      <c r="BR43" s="33">
        <f t="shared" si="155"/>
        <v>11111.111111111046</v>
      </c>
      <c r="BS43" s="33">
        <f t="shared" si="155"/>
        <v>9259.2592592591936</v>
      </c>
      <c r="BT43" s="33">
        <f t="shared" si="155"/>
        <v>7407.4074074073415</v>
      </c>
      <c r="BU43" s="33">
        <f t="shared" si="155"/>
        <v>5555.5555555554893</v>
      </c>
      <c r="BV43" s="33">
        <f>+O28</f>
        <v>3703.7037037036371</v>
      </c>
      <c r="BW43" s="33">
        <f t="shared" ref="BW43:CF43" si="156">+P28</f>
        <v>1851.8518518517851</v>
      </c>
      <c r="BX43" s="33">
        <f t="shared" si="156"/>
        <v>0</v>
      </c>
      <c r="BY43" s="33">
        <f t="shared" si="156"/>
        <v>0</v>
      </c>
      <c r="BZ43" s="33">
        <f t="shared" si="156"/>
        <v>0</v>
      </c>
      <c r="CA43" s="33">
        <f t="shared" si="156"/>
        <v>0</v>
      </c>
      <c r="CB43" s="33">
        <f t="shared" si="156"/>
        <v>0</v>
      </c>
      <c r="CC43" s="33">
        <f t="shared" si="156"/>
        <v>0</v>
      </c>
      <c r="CD43" s="33">
        <f t="shared" si="156"/>
        <v>0</v>
      </c>
      <c r="CE43" s="33">
        <f t="shared" si="156"/>
        <v>0</v>
      </c>
      <c r="CF43" s="33">
        <f t="shared" si="156"/>
        <v>0</v>
      </c>
      <c r="CG43" s="33">
        <f>+Z28</f>
        <v>0</v>
      </c>
      <c r="CH43" s="33">
        <f>+B53</f>
        <v>0</v>
      </c>
      <c r="CI43" s="33">
        <f t="shared" ref="CI43:CS43" si="157">+C53</f>
        <v>0</v>
      </c>
      <c r="CJ43" s="33">
        <f t="shared" si="157"/>
        <v>0</v>
      </c>
      <c r="CK43" s="33">
        <f t="shared" si="157"/>
        <v>0</v>
      </c>
      <c r="CL43" s="33">
        <f t="shared" si="157"/>
        <v>0</v>
      </c>
      <c r="CM43" s="33">
        <f t="shared" si="157"/>
        <v>0</v>
      </c>
      <c r="CN43" s="33">
        <f t="shared" si="157"/>
        <v>0</v>
      </c>
      <c r="CO43" s="33">
        <f t="shared" si="157"/>
        <v>0</v>
      </c>
      <c r="CP43" s="33">
        <f t="shared" si="157"/>
        <v>0</v>
      </c>
      <c r="CQ43" s="33">
        <f t="shared" si="157"/>
        <v>0</v>
      </c>
      <c r="CR43" s="33">
        <f t="shared" si="157"/>
        <v>0</v>
      </c>
      <c r="CS43" s="33">
        <f t="shared" si="157"/>
        <v>0</v>
      </c>
      <c r="CT43" s="33">
        <f>+AM28</f>
        <v>0</v>
      </c>
      <c r="CU43" s="33">
        <f t="shared" ref="CU43" si="158">+AN28</f>
        <v>0</v>
      </c>
      <c r="CV43" s="33">
        <f t="shared" ref="CV43" si="159">+AO28</f>
        <v>0</v>
      </c>
      <c r="CW43" s="33">
        <f t="shared" ref="CW43" si="160">+AP28</f>
        <v>0</v>
      </c>
      <c r="CX43" s="33">
        <f t="shared" ref="CX43" si="161">+AQ28</f>
        <v>0</v>
      </c>
      <c r="CY43" s="33">
        <f t="shared" ref="CY43" si="162">+AR28</f>
        <v>0</v>
      </c>
      <c r="CZ43" s="33">
        <f t="shared" ref="CZ43" si="163">+AS28</f>
        <v>0</v>
      </c>
      <c r="DA43" s="33">
        <f t="shared" ref="DA43" si="164">+AT28</f>
        <v>0</v>
      </c>
      <c r="DB43" s="33">
        <f t="shared" ref="DB43" si="165">+AU28</f>
        <v>0</v>
      </c>
      <c r="DC43" s="33">
        <f t="shared" ref="DC43" si="166">+AV28</f>
        <v>0</v>
      </c>
      <c r="DD43" s="33">
        <f t="shared" ref="DD43" si="167">+AW28</f>
        <v>0</v>
      </c>
      <c r="DE43" s="33">
        <f>+AX28</f>
        <v>0</v>
      </c>
    </row>
    <row r="44" spans="1:109" x14ac:dyDescent="0.2">
      <c r="A44" s="39" t="s">
        <v>356</v>
      </c>
      <c r="B44" s="33">
        <f t="shared" ref="B44:M44" si="168">+B43-B42</f>
        <v>0</v>
      </c>
      <c r="C44" s="33">
        <f t="shared" si="168"/>
        <v>0</v>
      </c>
      <c r="D44" s="33">
        <f t="shared" si="168"/>
        <v>88888.888888888891</v>
      </c>
      <c r="E44" s="33">
        <f t="shared" si="168"/>
        <v>87037.037037037036</v>
      </c>
      <c r="F44" s="33">
        <f t="shared" si="168"/>
        <v>85185.185185185182</v>
      </c>
      <c r="G44" s="33">
        <f t="shared" si="168"/>
        <v>83333.333333333328</v>
      </c>
      <c r="H44" s="33">
        <f t="shared" si="168"/>
        <v>81481.481481481489</v>
      </c>
      <c r="I44" s="33">
        <f t="shared" si="168"/>
        <v>79629.629629629635</v>
      </c>
      <c r="J44" s="33">
        <f t="shared" si="168"/>
        <v>77777.777777777781</v>
      </c>
      <c r="K44" s="33">
        <f t="shared" si="168"/>
        <v>75925.925925925927</v>
      </c>
      <c r="L44" s="33">
        <f t="shared" si="168"/>
        <v>74074.074074074073</v>
      </c>
      <c r="M44" s="33">
        <f t="shared" si="168"/>
        <v>72222.222222222219</v>
      </c>
      <c r="N44" s="33">
        <f>+M44</f>
        <v>72222.222222222219</v>
      </c>
      <c r="O44" s="33">
        <f>+O43-O42</f>
        <v>70370.370370370365</v>
      </c>
      <c r="P44" s="33">
        <f t="shared" ref="P44:Z44" si="169">+P43-P42</f>
        <v>68518.518518518511</v>
      </c>
      <c r="Q44" s="33">
        <f t="shared" si="169"/>
        <v>66666.666666666657</v>
      </c>
      <c r="R44" s="33">
        <f t="shared" si="169"/>
        <v>64814.814814814803</v>
      </c>
      <c r="S44" s="33">
        <f t="shared" si="169"/>
        <v>62962.962962962949</v>
      </c>
      <c r="T44" s="33">
        <f t="shared" si="169"/>
        <v>61111.111111111095</v>
      </c>
      <c r="U44" s="33">
        <f t="shared" si="169"/>
        <v>59259.259259259241</v>
      </c>
      <c r="V44" s="33">
        <f t="shared" si="169"/>
        <v>57407.407407407387</v>
      </c>
      <c r="W44" s="33">
        <f t="shared" si="169"/>
        <v>55555.555555555533</v>
      </c>
      <c r="X44" s="33">
        <f t="shared" si="169"/>
        <v>53703.703703703679</v>
      </c>
      <c r="Y44" s="33">
        <f t="shared" si="169"/>
        <v>51851.851851851825</v>
      </c>
      <c r="Z44" s="33">
        <f t="shared" si="169"/>
        <v>49999.999999999971</v>
      </c>
      <c r="AA44" s="33">
        <f>+Z44</f>
        <v>49999.999999999971</v>
      </c>
      <c r="AB44" s="33">
        <f>+N44</f>
        <v>72222.222222222219</v>
      </c>
      <c r="AC44" s="33">
        <f>+AA44</f>
        <v>49999.999999999971</v>
      </c>
      <c r="AD44" s="33">
        <f>+AW44</f>
        <v>27777.777777777723</v>
      </c>
      <c r="AE44" s="33">
        <f>+BI44</f>
        <v>5555.5555555554856</v>
      </c>
      <c r="AF44" s="33">
        <f>+BU44</f>
        <v>0</v>
      </c>
      <c r="AG44" s="33">
        <f>+CG44</f>
        <v>0</v>
      </c>
      <c r="AH44" s="33">
        <f>+CS44</f>
        <v>0</v>
      </c>
      <c r="AI44" s="39"/>
      <c r="AJ44" s="39"/>
      <c r="AK44" s="39"/>
      <c r="AL44" s="33">
        <f t="shared" ref="AL44:BY44" si="170">IF(+AL43-AL42&lt;0.1,0,AL43-AL42)</f>
        <v>48148.148148148117</v>
      </c>
      <c r="AM44" s="33">
        <f t="shared" si="170"/>
        <v>46296.296296296263</v>
      </c>
      <c r="AN44" s="33">
        <f t="shared" si="170"/>
        <v>44444.444444444409</v>
      </c>
      <c r="AO44" s="33">
        <f t="shared" si="170"/>
        <v>42592.592592592555</v>
      </c>
      <c r="AP44" s="33">
        <f t="shared" si="170"/>
        <v>40740.740740740701</v>
      </c>
      <c r="AQ44" s="33">
        <f t="shared" si="170"/>
        <v>38888.888888888847</v>
      </c>
      <c r="AR44" s="33">
        <f t="shared" si="170"/>
        <v>37037.037037036993</v>
      </c>
      <c r="AS44" s="33">
        <f t="shared" si="170"/>
        <v>35185.185185185139</v>
      </c>
      <c r="AT44" s="33">
        <f t="shared" si="170"/>
        <v>33333.333333333285</v>
      </c>
      <c r="AU44" s="33">
        <f t="shared" si="170"/>
        <v>31481.481481481431</v>
      </c>
      <c r="AV44" s="33">
        <f t="shared" si="170"/>
        <v>29629.629629629577</v>
      </c>
      <c r="AW44" s="33">
        <f t="shared" si="170"/>
        <v>27777.777777777723</v>
      </c>
      <c r="AX44" s="33">
        <f t="shared" si="170"/>
        <v>25925.925925925869</v>
      </c>
      <c r="AY44" s="33">
        <f t="shared" si="170"/>
        <v>24074.074074074015</v>
      </c>
      <c r="AZ44" s="33">
        <f t="shared" si="170"/>
        <v>22222.222222222161</v>
      </c>
      <c r="BA44" s="33">
        <f t="shared" si="170"/>
        <v>20370.370370370307</v>
      </c>
      <c r="BB44" s="33">
        <f t="shared" si="170"/>
        <v>18518.518518518453</v>
      </c>
      <c r="BC44" s="33">
        <f t="shared" si="170"/>
        <v>16666.666666666599</v>
      </c>
      <c r="BD44" s="33">
        <f t="shared" si="170"/>
        <v>14814.814814814745</v>
      </c>
      <c r="BE44" s="33">
        <f t="shared" si="170"/>
        <v>12962.962962962891</v>
      </c>
      <c r="BF44" s="33">
        <f t="shared" si="170"/>
        <v>11111.111111111037</v>
      </c>
      <c r="BG44" s="33">
        <f t="shared" si="170"/>
        <v>9259.2592592591864</v>
      </c>
      <c r="BH44" s="33">
        <f t="shared" si="170"/>
        <v>7407.407407407336</v>
      </c>
      <c r="BI44" s="33">
        <f t="shared" si="170"/>
        <v>5555.5555555554856</v>
      </c>
      <c r="BJ44" s="33">
        <f t="shared" si="170"/>
        <v>3703.7037037036353</v>
      </c>
      <c r="BK44" s="33">
        <f t="shared" si="170"/>
        <v>1851.8518518517849</v>
      </c>
      <c r="BL44" s="33">
        <f t="shared" si="170"/>
        <v>0</v>
      </c>
      <c r="BM44" s="33">
        <f t="shared" si="170"/>
        <v>0</v>
      </c>
      <c r="BN44" s="33">
        <f t="shared" si="170"/>
        <v>0</v>
      </c>
      <c r="BO44" s="33">
        <f t="shared" si="170"/>
        <v>0</v>
      </c>
      <c r="BP44" s="33">
        <f t="shared" si="170"/>
        <v>0</v>
      </c>
      <c r="BQ44" s="33">
        <f t="shared" si="170"/>
        <v>0</v>
      </c>
      <c r="BR44" s="33">
        <f t="shared" si="170"/>
        <v>0</v>
      </c>
      <c r="BS44" s="33">
        <f t="shared" si="170"/>
        <v>0</v>
      </c>
      <c r="BT44" s="33">
        <f t="shared" si="170"/>
        <v>0</v>
      </c>
      <c r="BU44" s="33">
        <f t="shared" si="170"/>
        <v>0</v>
      </c>
      <c r="BV44" s="33">
        <f t="shared" si="170"/>
        <v>0</v>
      </c>
      <c r="BW44" s="33">
        <f t="shared" si="170"/>
        <v>0</v>
      </c>
      <c r="BX44" s="33">
        <f t="shared" si="170"/>
        <v>0</v>
      </c>
      <c r="BY44" s="33">
        <f t="shared" si="170"/>
        <v>0</v>
      </c>
      <c r="BZ44" s="33">
        <f>IF(+BZ43-BZ42&lt;0.1,0,BZ43-BZ42)</f>
        <v>0</v>
      </c>
      <c r="CA44" s="33">
        <f>IF(+CA43-CA42&lt;0.1,0,CA43-CA42)</f>
        <v>0</v>
      </c>
      <c r="CB44" s="33">
        <f t="shared" ref="CB44:CS44" si="171">IF(+CB43-CB42&lt;0.1,0,CB43-CB42)</f>
        <v>0</v>
      </c>
      <c r="CC44" s="33">
        <f t="shared" si="171"/>
        <v>0</v>
      </c>
      <c r="CD44" s="33">
        <f t="shared" si="171"/>
        <v>0</v>
      </c>
      <c r="CE44" s="33">
        <f t="shared" si="171"/>
        <v>0</v>
      </c>
      <c r="CF44" s="33">
        <f t="shared" si="171"/>
        <v>0</v>
      </c>
      <c r="CG44" s="33">
        <f t="shared" si="171"/>
        <v>0</v>
      </c>
      <c r="CH44" s="33">
        <f t="shared" si="171"/>
        <v>0</v>
      </c>
      <c r="CI44" s="33">
        <f t="shared" si="171"/>
        <v>0</v>
      </c>
      <c r="CJ44" s="33">
        <f t="shared" si="171"/>
        <v>0</v>
      </c>
      <c r="CK44" s="33">
        <f t="shared" si="171"/>
        <v>0</v>
      </c>
      <c r="CL44" s="33">
        <f t="shared" si="171"/>
        <v>0</v>
      </c>
      <c r="CM44" s="33">
        <f t="shared" si="171"/>
        <v>0</v>
      </c>
      <c r="CN44" s="33">
        <f t="shared" si="171"/>
        <v>0</v>
      </c>
      <c r="CO44" s="33">
        <f t="shared" si="171"/>
        <v>0</v>
      </c>
      <c r="CP44" s="33">
        <f t="shared" si="171"/>
        <v>0</v>
      </c>
      <c r="CQ44" s="33">
        <f t="shared" si="171"/>
        <v>0</v>
      </c>
      <c r="CR44" s="33">
        <f t="shared" si="171"/>
        <v>0</v>
      </c>
      <c r="CS44" s="33">
        <f t="shared" si="171"/>
        <v>0</v>
      </c>
      <c r="CT44" s="33">
        <f t="shared" ref="CT44:CW44" si="172">IF(+CT43-CT42&lt;0.1,0,CT43-CT42)</f>
        <v>0</v>
      </c>
      <c r="CU44" s="33">
        <f t="shared" si="172"/>
        <v>0</v>
      </c>
      <c r="CV44" s="33">
        <f t="shared" si="172"/>
        <v>0</v>
      </c>
      <c r="CW44" s="33">
        <f t="shared" si="172"/>
        <v>0</v>
      </c>
      <c r="CX44" s="33">
        <f>IF(+CX43-CX42&lt;0.1,0,CX43-CX42)</f>
        <v>0</v>
      </c>
      <c r="CY44" s="33">
        <f>IF(+CY43-CY42&lt;0.1,0,CY43-CY42)</f>
        <v>0</v>
      </c>
      <c r="CZ44" s="33">
        <f t="shared" ref="CZ44:DE44" si="173">IF(+CZ43-CZ42&lt;0.1,0,CZ43-CZ42)</f>
        <v>0</v>
      </c>
      <c r="DA44" s="33">
        <f t="shared" si="173"/>
        <v>0</v>
      </c>
      <c r="DB44" s="33">
        <f t="shared" si="173"/>
        <v>0</v>
      </c>
      <c r="DC44" s="33">
        <f t="shared" si="173"/>
        <v>0</v>
      </c>
      <c r="DD44" s="33">
        <f t="shared" si="173"/>
        <v>0</v>
      </c>
      <c r="DE44" s="33">
        <f t="shared" si="173"/>
        <v>0</v>
      </c>
    </row>
    <row r="45" spans="1:109" x14ac:dyDescent="0.2">
      <c r="E45" s="14"/>
      <c r="F45" s="14"/>
    </row>
    <row r="46" spans="1:109" x14ac:dyDescent="0.2">
      <c r="E46" s="14"/>
      <c r="F46" s="14"/>
    </row>
    <row r="47" spans="1:109" ht="24" customHeight="1" x14ac:dyDescent="0.2">
      <c r="A47" s="33"/>
      <c r="B47" s="1962">
        <f>+O22+1</f>
        <v>2023</v>
      </c>
      <c r="C47" s="1962"/>
      <c r="D47" s="1962"/>
      <c r="E47" s="1962"/>
      <c r="F47" s="1962"/>
      <c r="G47" s="1962"/>
      <c r="H47" s="1962"/>
      <c r="I47" s="1962"/>
      <c r="J47" s="1962"/>
      <c r="K47" s="1962"/>
      <c r="L47" s="1962"/>
      <c r="M47" s="1962"/>
      <c r="N47" s="1963" t="s">
        <v>544</v>
      </c>
      <c r="O47" s="1962">
        <f>+B47+1</f>
        <v>2024</v>
      </c>
      <c r="P47" s="1962"/>
      <c r="Q47" s="1962"/>
      <c r="R47" s="1962"/>
      <c r="S47" s="1962"/>
      <c r="T47" s="1962"/>
      <c r="U47" s="1962"/>
      <c r="V47" s="1962"/>
      <c r="W47" s="1962"/>
      <c r="X47" s="1962"/>
      <c r="Y47" s="1962"/>
      <c r="Z47" s="1962"/>
      <c r="AA47" s="1963" t="s">
        <v>545</v>
      </c>
    </row>
    <row r="48" spans="1:109" ht="24" customHeight="1" x14ac:dyDescent="0.2">
      <c r="A48" s="33"/>
      <c r="B48" s="1144" t="str">
        <f t="shared" ref="B48:M48" si="174">+B23</f>
        <v>Ene</v>
      </c>
      <c r="C48" s="1144" t="str">
        <f t="shared" si="174"/>
        <v>Feb</v>
      </c>
      <c r="D48" s="1144" t="str">
        <f t="shared" si="174"/>
        <v>Mar</v>
      </c>
      <c r="E48" s="1144" t="str">
        <f t="shared" si="174"/>
        <v>Abr</v>
      </c>
      <c r="F48" s="1144" t="str">
        <f t="shared" si="174"/>
        <v>May</v>
      </c>
      <c r="G48" s="1144" t="str">
        <f t="shared" si="174"/>
        <v>Jun</v>
      </c>
      <c r="H48" s="1144" t="str">
        <f t="shared" si="174"/>
        <v>Jul</v>
      </c>
      <c r="I48" s="1144" t="str">
        <f t="shared" si="174"/>
        <v>Ago</v>
      </c>
      <c r="J48" s="1144" t="str">
        <f t="shared" si="174"/>
        <v>Sep</v>
      </c>
      <c r="K48" s="1144" t="str">
        <f t="shared" si="174"/>
        <v>Oct</v>
      </c>
      <c r="L48" s="1144" t="str">
        <f t="shared" si="174"/>
        <v>Nov</v>
      </c>
      <c r="M48" s="1144" t="str">
        <f t="shared" si="174"/>
        <v>Dic</v>
      </c>
      <c r="N48" s="1963"/>
      <c r="O48" s="1144" t="str">
        <f t="shared" ref="O48:Z48" si="175">+O23</f>
        <v>Ene</v>
      </c>
      <c r="P48" s="1144" t="str">
        <f t="shared" si="175"/>
        <v>Feb</v>
      </c>
      <c r="Q48" s="1144" t="str">
        <f t="shared" si="175"/>
        <v>Mar</v>
      </c>
      <c r="R48" s="1144" t="str">
        <f t="shared" si="175"/>
        <v>Abr</v>
      </c>
      <c r="S48" s="1144" t="str">
        <f t="shared" si="175"/>
        <v>May</v>
      </c>
      <c r="T48" s="1144" t="str">
        <f t="shared" si="175"/>
        <v>Jun</v>
      </c>
      <c r="U48" s="1144" t="str">
        <f t="shared" si="175"/>
        <v>Jul</v>
      </c>
      <c r="V48" s="1144" t="str">
        <f t="shared" si="175"/>
        <v>Ago</v>
      </c>
      <c r="W48" s="1144" t="str">
        <f t="shared" si="175"/>
        <v>Sep</v>
      </c>
      <c r="X48" s="1144" t="str">
        <f t="shared" si="175"/>
        <v>Oct</v>
      </c>
      <c r="Y48" s="1144" t="str">
        <f t="shared" si="175"/>
        <v>Nov</v>
      </c>
      <c r="Z48" s="1144" t="str">
        <f t="shared" si="175"/>
        <v>Dic</v>
      </c>
      <c r="AA48" s="1963"/>
    </row>
    <row r="49" spans="1:27" ht="24" customHeight="1" x14ac:dyDescent="0.2">
      <c r="A49" s="1145" t="s">
        <v>43</v>
      </c>
      <c r="B49" s="1146">
        <f>IF(B56=0,0,IF(B56=1,$B$5,AA28))</f>
        <v>0</v>
      </c>
      <c r="C49" s="1146">
        <f>IF(C56=0,0,IF(C56=1,$B$5,B53))</f>
        <v>0</v>
      </c>
      <c r="D49" s="1146">
        <f t="shared" ref="D49:M49" si="176">IF(D56=0,0,IF(D56=1,$B$5,C53))</f>
        <v>0</v>
      </c>
      <c r="E49" s="1146">
        <f t="shared" si="176"/>
        <v>0</v>
      </c>
      <c r="F49" s="1146">
        <f t="shared" si="176"/>
        <v>0</v>
      </c>
      <c r="G49" s="1146">
        <f t="shared" si="176"/>
        <v>0</v>
      </c>
      <c r="H49" s="1146">
        <f t="shared" si="176"/>
        <v>0</v>
      </c>
      <c r="I49" s="1146">
        <f t="shared" si="176"/>
        <v>0</v>
      </c>
      <c r="J49" s="1146">
        <f t="shared" si="176"/>
        <v>0</v>
      </c>
      <c r="K49" s="1146">
        <f t="shared" si="176"/>
        <v>0</v>
      </c>
      <c r="L49" s="1146">
        <f t="shared" si="176"/>
        <v>0</v>
      </c>
      <c r="M49" s="1146">
        <f t="shared" si="176"/>
        <v>0</v>
      </c>
      <c r="N49" s="1147">
        <f>+B49</f>
        <v>0</v>
      </c>
      <c r="O49" s="35">
        <f t="shared" ref="O49" si="177">IF(O62=0,0,IF(O62=1,$B$5,N53))</f>
        <v>0</v>
      </c>
      <c r="P49" s="35">
        <f t="shared" ref="P49" si="178">IF(P62=0,0,IF(P62=1,$B$5,O53))</f>
        <v>0</v>
      </c>
      <c r="Q49" s="35">
        <f t="shared" ref="Q49" si="179">IF(Q62=0,0,IF(Q62=1,$B$5,P53))</f>
        <v>0</v>
      </c>
      <c r="R49" s="35">
        <f t="shared" ref="R49" si="180">IF(R62=0,0,IF(R62=1,$B$5,Q53))</f>
        <v>0</v>
      </c>
      <c r="S49" s="35">
        <f t="shared" ref="S49" si="181">IF(S62=0,0,IF(S62=1,$B$5,R53))</f>
        <v>0</v>
      </c>
      <c r="T49" s="35">
        <f t="shared" ref="T49" si="182">IF(T62=0,0,IF(T62=1,$B$5,S53))</f>
        <v>0</v>
      </c>
      <c r="U49" s="35">
        <f t="shared" ref="U49" si="183">IF(U62=0,0,IF(U62=1,$B$5,T53))</f>
        <v>0</v>
      </c>
      <c r="V49" s="35">
        <f t="shared" ref="V49" si="184">IF(V62=0,0,IF(V62=1,$B$5,U53))</f>
        <v>0</v>
      </c>
      <c r="W49" s="35">
        <f t="shared" ref="W49" si="185">IF(W62=0,0,IF(W62=1,$B$5,V53))</f>
        <v>0</v>
      </c>
      <c r="X49" s="35">
        <f t="shared" ref="X49" si="186">IF(X62=0,0,IF(X62=1,$B$5,W53))</f>
        <v>0</v>
      </c>
      <c r="Y49" s="35">
        <f t="shared" ref="Y49" si="187">IF(Y62=0,0,IF(Y62=1,$B$5,X53))</f>
        <v>0</v>
      </c>
      <c r="Z49" s="35">
        <f t="shared" ref="Z49" si="188">IF(Z62=0,0,IF(Z62=1,$B$5,Y53))</f>
        <v>0</v>
      </c>
      <c r="AA49" s="1143">
        <f>+O49</f>
        <v>0</v>
      </c>
    </row>
    <row r="50" spans="1:27" ht="24" customHeight="1" x14ac:dyDescent="0.2">
      <c r="A50" s="1145" t="s">
        <v>267</v>
      </c>
      <c r="B50" s="1146">
        <f>IF(Z37=0,0,(B49*$C$5/12))</f>
        <v>0</v>
      </c>
      <c r="C50" s="1146">
        <f>IF(B56=0,0,(C49*$C$5/12))</f>
        <v>0</v>
      </c>
      <c r="D50" s="1146">
        <f t="shared" ref="D50:M50" si="189">IF(C56=0,0,(D49*$C$5/12))</f>
        <v>0</v>
      </c>
      <c r="E50" s="1146">
        <f t="shared" si="189"/>
        <v>0</v>
      </c>
      <c r="F50" s="1146">
        <f t="shared" si="189"/>
        <v>0</v>
      </c>
      <c r="G50" s="1146">
        <f t="shared" si="189"/>
        <v>0</v>
      </c>
      <c r="H50" s="1146">
        <f t="shared" si="189"/>
        <v>0</v>
      </c>
      <c r="I50" s="1146">
        <f t="shared" si="189"/>
        <v>0</v>
      </c>
      <c r="J50" s="1146">
        <f t="shared" si="189"/>
        <v>0</v>
      </c>
      <c r="K50" s="1146">
        <f t="shared" si="189"/>
        <v>0</v>
      </c>
      <c r="L50" s="1146">
        <f t="shared" si="189"/>
        <v>0</v>
      </c>
      <c r="M50" s="1146">
        <f t="shared" si="189"/>
        <v>0</v>
      </c>
      <c r="N50" s="1143">
        <f>SUM(B50:M50)</f>
        <v>0</v>
      </c>
      <c r="O50" s="35">
        <f>IF(M62=0,0,(O49*$C$5/12))</f>
        <v>0</v>
      </c>
      <c r="P50" s="35">
        <f t="shared" ref="P50" si="190">IF(O62=0,0,(P49*$C$5/12))</f>
        <v>0</v>
      </c>
      <c r="Q50" s="35">
        <f t="shared" ref="Q50" si="191">IF(P62=0,0,(Q49*$C$5/12))</f>
        <v>0</v>
      </c>
      <c r="R50" s="35">
        <f t="shared" ref="R50" si="192">IF(Q62=0,0,(R49*$C$5/12))</f>
        <v>0</v>
      </c>
      <c r="S50" s="35">
        <f t="shared" ref="S50" si="193">IF(R62=0,0,(S49*$C$5/12))</f>
        <v>0</v>
      </c>
      <c r="T50" s="35">
        <f t="shared" ref="T50" si="194">IF(S62=0,0,(T49*$C$5/12))</f>
        <v>0</v>
      </c>
      <c r="U50" s="35">
        <f t="shared" ref="U50" si="195">IF(T62=0,0,(U49*$C$5/12))</f>
        <v>0</v>
      </c>
      <c r="V50" s="35">
        <f t="shared" ref="V50" si="196">IF(U62=0,0,(V49*$C$5/12))</f>
        <v>0</v>
      </c>
      <c r="W50" s="35">
        <f t="shared" ref="W50" si="197">IF(V62=0,0,(W49*$C$5/12))</f>
        <v>0</v>
      </c>
      <c r="X50" s="35">
        <f t="shared" ref="X50" si="198">IF(W62=0,0,(X49*$C$5/12))</f>
        <v>0</v>
      </c>
      <c r="Y50" s="35">
        <f t="shared" ref="Y50" si="199">IF(X62=0,0,(Y49*$C$5/12))</f>
        <v>0</v>
      </c>
      <c r="Z50" s="35">
        <f t="shared" ref="Z50" si="200">IF(Y62=0,0,(Z49*$C$5/12))</f>
        <v>0</v>
      </c>
      <c r="AA50" s="1143">
        <f>SUM(O50:Z50)</f>
        <v>0</v>
      </c>
    </row>
    <row r="51" spans="1:27" ht="24" customHeight="1" x14ac:dyDescent="0.2">
      <c r="A51" s="1145" t="str">
        <f>+A44</f>
        <v>a largo plazo</v>
      </c>
      <c r="B51" s="1146">
        <f>IF(B49=0,0,IF(B55&lt;=$F$5+$D$5,0,$B$5/($E$5-$D$5)))</f>
        <v>0</v>
      </c>
      <c r="C51" s="1146">
        <f>IF(C49=0,0,IF(C55&lt;=$F$5+$D$5,0,$B$5/($E$5-$D$5)))</f>
        <v>0</v>
      </c>
      <c r="D51" s="1146">
        <f t="shared" ref="D51:M51" si="201">IF(D49=0,0,IF(D55&lt;=$F$5+$D$5,0,$B$5/($E$5-$D$5)))</f>
        <v>0</v>
      </c>
      <c r="E51" s="1146">
        <f t="shared" si="201"/>
        <v>0</v>
      </c>
      <c r="F51" s="1146">
        <f t="shared" si="201"/>
        <v>0</v>
      </c>
      <c r="G51" s="1146">
        <f t="shared" si="201"/>
        <v>0</v>
      </c>
      <c r="H51" s="1146">
        <f t="shared" si="201"/>
        <v>0</v>
      </c>
      <c r="I51" s="1146">
        <f t="shared" si="201"/>
        <v>0</v>
      </c>
      <c r="J51" s="1146">
        <f t="shared" si="201"/>
        <v>0</v>
      </c>
      <c r="K51" s="1146">
        <f t="shared" si="201"/>
        <v>0</v>
      </c>
      <c r="L51" s="1146">
        <f t="shared" si="201"/>
        <v>0</v>
      </c>
      <c r="M51" s="1146">
        <f t="shared" si="201"/>
        <v>0</v>
      </c>
      <c r="N51" s="1143">
        <f>SUM(B51:M51)</f>
        <v>0</v>
      </c>
      <c r="O51" s="35">
        <f t="shared" ref="O51:Z51" si="202">IF(O49=0,0,IF(O61&lt;=$F$5+$D$5,0,$B$5/($E$5-$D$5)))</f>
        <v>0</v>
      </c>
      <c r="P51" s="35">
        <f t="shared" si="202"/>
        <v>0</v>
      </c>
      <c r="Q51" s="35">
        <f t="shared" si="202"/>
        <v>0</v>
      </c>
      <c r="R51" s="35">
        <f t="shared" si="202"/>
        <v>0</v>
      </c>
      <c r="S51" s="35">
        <f t="shared" si="202"/>
        <v>0</v>
      </c>
      <c r="T51" s="35">
        <f t="shared" si="202"/>
        <v>0</v>
      </c>
      <c r="U51" s="35">
        <f t="shared" si="202"/>
        <v>0</v>
      </c>
      <c r="V51" s="35">
        <f t="shared" si="202"/>
        <v>0</v>
      </c>
      <c r="W51" s="35">
        <f t="shared" si="202"/>
        <v>0</v>
      </c>
      <c r="X51" s="35">
        <f t="shared" si="202"/>
        <v>0</v>
      </c>
      <c r="Y51" s="35">
        <f t="shared" si="202"/>
        <v>0</v>
      </c>
      <c r="Z51" s="35">
        <f t="shared" si="202"/>
        <v>0</v>
      </c>
      <c r="AA51" s="1143">
        <f>SUM(O51:Z51)</f>
        <v>0</v>
      </c>
    </row>
    <row r="52" spans="1:27" ht="24" customHeight="1" x14ac:dyDescent="0.2">
      <c r="A52" s="1145" t="s">
        <v>52</v>
      </c>
      <c r="B52" s="1146">
        <f t="shared" ref="B52:M52" si="203">+B50+B51</f>
        <v>0</v>
      </c>
      <c r="C52" s="1146">
        <f t="shared" si="203"/>
        <v>0</v>
      </c>
      <c r="D52" s="1146">
        <f t="shared" si="203"/>
        <v>0</v>
      </c>
      <c r="E52" s="1146">
        <f t="shared" si="203"/>
        <v>0</v>
      </c>
      <c r="F52" s="1146">
        <f t="shared" si="203"/>
        <v>0</v>
      </c>
      <c r="G52" s="1146">
        <f t="shared" si="203"/>
        <v>0</v>
      </c>
      <c r="H52" s="1146">
        <f t="shared" si="203"/>
        <v>0</v>
      </c>
      <c r="I52" s="1146">
        <f t="shared" si="203"/>
        <v>0</v>
      </c>
      <c r="J52" s="1146">
        <f t="shared" si="203"/>
        <v>0</v>
      </c>
      <c r="K52" s="1146">
        <f t="shared" si="203"/>
        <v>0</v>
      </c>
      <c r="L52" s="1146">
        <f t="shared" si="203"/>
        <v>0</v>
      </c>
      <c r="M52" s="1146">
        <f t="shared" si="203"/>
        <v>0</v>
      </c>
      <c r="N52" s="1143">
        <f>SUM(B52:M52)</f>
        <v>0</v>
      </c>
      <c r="O52" s="35">
        <f t="shared" ref="O52:Z52" si="204">+O50+O51</f>
        <v>0</v>
      </c>
      <c r="P52" s="35">
        <f t="shared" si="204"/>
        <v>0</v>
      </c>
      <c r="Q52" s="35">
        <f t="shared" si="204"/>
        <v>0</v>
      </c>
      <c r="R52" s="35">
        <f t="shared" si="204"/>
        <v>0</v>
      </c>
      <c r="S52" s="35">
        <f t="shared" si="204"/>
        <v>0</v>
      </c>
      <c r="T52" s="35">
        <f t="shared" si="204"/>
        <v>0</v>
      </c>
      <c r="U52" s="35">
        <f t="shared" si="204"/>
        <v>0</v>
      </c>
      <c r="V52" s="35">
        <f t="shared" si="204"/>
        <v>0</v>
      </c>
      <c r="W52" s="35">
        <f t="shared" si="204"/>
        <v>0</v>
      </c>
      <c r="X52" s="35">
        <f t="shared" si="204"/>
        <v>0</v>
      </c>
      <c r="Y52" s="35">
        <f t="shared" si="204"/>
        <v>0</v>
      </c>
      <c r="Z52" s="35">
        <f t="shared" si="204"/>
        <v>0</v>
      </c>
      <c r="AA52" s="1143">
        <f>SUM(O52:Z52)</f>
        <v>0</v>
      </c>
    </row>
    <row r="53" spans="1:27" ht="24" customHeight="1" x14ac:dyDescent="0.2">
      <c r="A53" s="1145" t="s">
        <v>45</v>
      </c>
      <c r="B53" s="35">
        <f t="shared" ref="B53:M53" si="205">IF(B49-B51&lt;=0.01,0,B49-B51)</f>
        <v>0</v>
      </c>
      <c r="C53" s="35">
        <f t="shared" si="205"/>
        <v>0</v>
      </c>
      <c r="D53" s="35">
        <f t="shared" si="205"/>
        <v>0</v>
      </c>
      <c r="E53" s="35">
        <f t="shared" si="205"/>
        <v>0</v>
      </c>
      <c r="F53" s="35">
        <f t="shared" si="205"/>
        <v>0</v>
      </c>
      <c r="G53" s="35">
        <f t="shared" si="205"/>
        <v>0</v>
      </c>
      <c r="H53" s="35">
        <f t="shared" si="205"/>
        <v>0</v>
      </c>
      <c r="I53" s="35">
        <f t="shared" si="205"/>
        <v>0</v>
      </c>
      <c r="J53" s="35">
        <f t="shared" si="205"/>
        <v>0</v>
      </c>
      <c r="K53" s="35">
        <f t="shared" si="205"/>
        <v>0</v>
      </c>
      <c r="L53" s="35">
        <f t="shared" si="205"/>
        <v>0</v>
      </c>
      <c r="M53" s="35">
        <f t="shared" si="205"/>
        <v>0</v>
      </c>
      <c r="N53" s="1143">
        <f>+M53</f>
        <v>0</v>
      </c>
      <c r="O53" s="35">
        <f t="shared" ref="O53:Z53" si="206">IF(O49-O51&lt;=0.01,0,O49-O51)</f>
        <v>0</v>
      </c>
      <c r="P53" s="35">
        <f t="shared" si="206"/>
        <v>0</v>
      </c>
      <c r="Q53" s="35">
        <f t="shared" si="206"/>
        <v>0</v>
      </c>
      <c r="R53" s="35">
        <f t="shared" si="206"/>
        <v>0</v>
      </c>
      <c r="S53" s="35">
        <f t="shared" si="206"/>
        <v>0</v>
      </c>
      <c r="T53" s="35">
        <f t="shared" si="206"/>
        <v>0</v>
      </c>
      <c r="U53" s="35">
        <f t="shared" si="206"/>
        <v>0</v>
      </c>
      <c r="V53" s="35">
        <f t="shared" si="206"/>
        <v>0</v>
      </c>
      <c r="W53" s="35">
        <f t="shared" si="206"/>
        <v>0</v>
      </c>
      <c r="X53" s="35">
        <f t="shared" si="206"/>
        <v>0</v>
      </c>
      <c r="Y53" s="35">
        <f t="shared" si="206"/>
        <v>0</v>
      </c>
      <c r="Z53" s="35">
        <f t="shared" si="206"/>
        <v>0</v>
      </c>
      <c r="AA53" s="1143">
        <f>+Z53</f>
        <v>0</v>
      </c>
    </row>
    <row r="54" spans="1:27" x14ac:dyDescent="0.2">
      <c r="E54" s="14"/>
      <c r="F54" s="14"/>
    </row>
    <row r="55" spans="1:27" x14ac:dyDescent="0.2">
      <c r="A55" s="16" t="str">
        <f>+A36</f>
        <v>Numero del mes</v>
      </c>
      <c r="B55" s="16">
        <f>+Z36+1</f>
        <v>73</v>
      </c>
      <c r="C55" s="16">
        <f t="shared" ref="C55" si="207">+B55+1</f>
        <v>74</v>
      </c>
      <c r="D55" s="16">
        <f t="shared" ref="D55" si="208">+C55+1</f>
        <v>75</v>
      </c>
      <c r="E55" s="14">
        <f t="shared" ref="E55" si="209">+D55+1</f>
        <v>76</v>
      </c>
      <c r="F55" s="14">
        <f t="shared" ref="F55" si="210">+E55+1</f>
        <v>77</v>
      </c>
      <c r="G55" s="16">
        <f t="shared" ref="G55" si="211">+F55+1</f>
        <v>78</v>
      </c>
      <c r="H55" s="16">
        <f t="shared" ref="H55" si="212">+G55+1</f>
        <v>79</v>
      </c>
      <c r="I55" s="16">
        <f t="shared" ref="I55" si="213">+H55+1</f>
        <v>80</v>
      </c>
      <c r="J55" s="16">
        <f t="shared" ref="J55" si="214">+I55+1</f>
        <v>81</v>
      </c>
      <c r="K55" s="16">
        <f t="shared" ref="K55" si="215">+J55+1</f>
        <v>82</v>
      </c>
      <c r="L55" s="16">
        <f t="shared" ref="L55" si="216">+K55+1</f>
        <v>83</v>
      </c>
      <c r="M55" s="16">
        <f t="shared" ref="M55" si="217">+L55+1</f>
        <v>84</v>
      </c>
      <c r="O55" s="16">
        <f>+M55+1</f>
        <v>85</v>
      </c>
      <c r="P55" s="16">
        <f t="shared" ref="P55" si="218">+O55+1</f>
        <v>86</v>
      </c>
      <c r="Q55" s="16">
        <f t="shared" ref="Q55" si="219">+P55+1</f>
        <v>87</v>
      </c>
      <c r="R55" s="16">
        <f t="shared" ref="R55" si="220">+Q55+1</f>
        <v>88</v>
      </c>
      <c r="S55" s="16">
        <f t="shared" ref="S55" si="221">+R55+1</f>
        <v>89</v>
      </c>
      <c r="T55" s="16">
        <f t="shared" ref="T55" si="222">+S55+1</f>
        <v>90</v>
      </c>
      <c r="U55" s="16">
        <f t="shared" ref="U55" si="223">+T55+1</f>
        <v>91</v>
      </c>
      <c r="V55" s="16">
        <f t="shared" ref="V55" si="224">+U55+1</f>
        <v>92</v>
      </c>
      <c r="W55" s="16">
        <f t="shared" ref="W55" si="225">+V55+1</f>
        <v>93</v>
      </c>
      <c r="X55" s="16">
        <f t="shared" ref="X55" si="226">+W55+1</f>
        <v>94</v>
      </c>
      <c r="Y55" s="16">
        <f t="shared" ref="Y55" si="227">+X55+1</f>
        <v>95</v>
      </c>
      <c r="Z55" s="16">
        <f t="shared" ref="Z55" si="228">+Y55+1</f>
        <v>96</v>
      </c>
    </row>
    <row r="56" spans="1:27" x14ac:dyDescent="0.2">
      <c r="A56" s="16" t="str">
        <f>+A37</f>
        <v>Meses del ciclo</v>
      </c>
      <c r="B56" s="16">
        <f>IF(B55&lt;$F$5,0,IF(B55=$F$5,1,IF(B55&gt;$F$5+$E$5,0,Z37+1)))</f>
        <v>0</v>
      </c>
      <c r="C56" s="16">
        <f>IF(C55&lt;$F$5,0,IF(C55=$F$5,1,IF(C55&gt;$F$5+$E$5,0,B56+1)))</f>
        <v>0</v>
      </c>
      <c r="D56" s="16">
        <f t="shared" ref="D56" si="229">IF(D55&lt;$F$5,0,IF(D55=$F$5,1,IF(D55&gt;$F$5+$E$5,0,C56+1)))</f>
        <v>0</v>
      </c>
      <c r="E56" s="14">
        <f t="shared" ref="E56" si="230">IF(E55&lt;$F$5,0,IF(E55=$F$5,1,IF(E55&gt;$F$5+$E$5,0,D56+1)))</f>
        <v>0</v>
      </c>
      <c r="F56" s="14">
        <f t="shared" ref="F56" si="231">IF(F55&lt;$F$5,0,IF(F55=$F$5,1,IF(F55&gt;$F$5+$E$5,0,E56+1)))</f>
        <v>0</v>
      </c>
      <c r="G56" s="16">
        <f t="shared" ref="G56" si="232">IF(G55&lt;$F$5,0,IF(G55=$F$5,1,IF(G55&gt;$F$5+$E$5,0,F56+1)))</f>
        <v>0</v>
      </c>
      <c r="H56" s="16">
        <f t="shared" ref="H56" si="233">IF(H55&lt;$F$5,0,IF(H55=$F$5,1,IF(H55&gt;$F$5+$E$5,0,G56+1)))</f>
        <v>0</v>
      </c>
      <c r="I56" s="16">
        <f t="shared" ref="I56" si="234">IF(I55&lt;$F$5,0,IF(I55=$F$5,1,IF(I55&gt;$F$5+$E$5,0,H56+1)))</f>
        <v>0</v>
      </c>
      <c r="J56" s="16">
        <f t="shared" ref="J56" si="235">IF(J55&lt;$F$5,0,IF(J55=$F$5,1,IF(J55&gt;$F$5+$E$5,0,I56+1)))</f>
        <v>0</v>
      </c>
      <c r="K56" s="16">
        <f t="shared" ref="K56" si="236">IF(K55&lt;$F$5,0,IF(K55=$F$5,1,IF(K55&gt;$F$5+$E$5,0,J56+1)))</f>
        <v>0</v>
      </c>
      <c r="L56" s="16">
        <f t="shared" ref="L56" si="237">IF(L55&lt;$F$5,0,IF(L55=$F$5,1,IF(L55&gt;$F$5+$E$5,0,K56+1)))</f>
        <v>0</v>
      </c>
      <c r="M56" s="16">
        <f t="shared" ref="M56" si="238">IF(M55&lt;$F$5,0,IF(M55=$F$5,1,IF(M55&gt;$F$5+$E$5,0,L56+1)))</f>
        <v>0</v>
      </c>
      <c r="N56" s="16">
        <f>+M56</f>
        <v>0</v>
      </c>
      <c r="O56" s="16">
        <f t="shared" ref="O56" si="239">IF(O55&lt;$F$5,0,IF(O55=$F$5,1,IF(O55&gt;$F$5+$E$5,0,N56+1)))</f>
        <v>0</v>
      </c>
      <c r="P56" s="16">
        <f t="shared" ref="P56" si="240">IF(P55&lt;$F$5,0,IF(P55=$F$5,1,IF(P55&gt;$F$5+$E$5,0,O56+1)))</f>
        <v>0</v>
      </c>
      <c r="Q56" s="16">
        <f t="shared" ref="Q56" si="241">IF(Q55&lt;$F$5,0,IF(Q55=$F$5,1,IF(Q55&gt;$F$5+$E$5,0,P56+1)))</f>
        <v>0</v>
      </c>
      <c r="R56" s="16">
        <f t="shared" ref="R56" si="242">IF(R55&lt;$F$5,0,IF(R55=$F$5,1,IF(R55&gt;$F$5+$E$5,0,Q56+1)))</f>
        <v>0</v>
      </c>
      <c r="S56" s="16">
        <f t="shared" ref="S56" si="243">IF(S55&lt;$F$5,0,IF(S55=$F$5,1,IF(S55&gt;$F$5+$E$5,0,R56+1)))</f>
        <v>0</v>
      </c>
      <c r="T56" s="16">
        <f t="shared" ref="T56" si="244">IF(T55&lt;$F$5,0,IF(T55=$F$5,1,IF(T55&gt;$F$5+$E$5,0,S56+1)))</f>
        <v>0</v>
      </c>
      <c r="U56" s="16">
        <f t="shared" ref="U56" si="245">IF(U55&lt;$F$5,0,IF(U55=$F$5,1,IF(U55&gt;$F$5+$E$5,0,T56+1)))</f>
        <v>0</v>
      </c>
      <c r="V56" s="16">
        <f t="shared" ref="V56" si="246">IF(V55&lt;$F$5,0,IF(V55=$F$5,1,IF(V55&gt;$F$5+$E$5,0,U56+1)))</f>
        <v>0</v>
      </c>
      <c r="W56" s="16">
        <f t="shared" ref="W56" si="247">IF(W55&lt;$F$5,0,IF(W55=$F$5,1,IF(W55&gt;$F$5+$E$5,0,V56+1)))</f>
        <v>0</v>
      </c>
      <c r="X56" s="16">
        <f t="shared" ref="X56" si="248">IF(X55&lt;$F$5,0,IF(X55=$F$5,1,IF(X55&gt;$F$5+$E$5,0,W56+1)))</f>
        <v>0</v>
      </c>
      <c r="Y56" s="16">
        <f t="shared" ref="Y56" si="249">IF(Y55&lt;$F$5,0,IF(Y55=$F$5,1,IF(Y55&gt;$F$5+$E$5,0,X56+1)))</f>
        <v>0</v>
      </c>
      <c r="Z56" s="16">
        <f t="shared" ref="Z56" si="250">IF(Z55&lt;$F$5,0,IF(Z55=$F$5,1,IF(Z55&gt;$F$5+$E$5,0,Y56+1)))</f>
        <v>0</v>
      </c>
    </row>
    <row r="57" spans="1:27" x14ac:dyDescent="0.2">
      <c r="E57" s="14"/>
      <c r="F57" s="14"/>
    </row>
    <row r="58" spans="1:27" x14ac:dyDescent="0.2">
      <c r="E58" s="14"/>
      <c r="F58" s="14"/>
    </row>
    <row r="59" spans="1:27" x14ac:dyDescent="0.2">
      <c r="E59" s="14"/>
      <c r="F59" s="14"/>
    </row>
    <row r="60" spans="1:27" x14ac:dyDescent="0.2">
      <c r="E60" s="14"/>
      <c r="F60" s="14"/>
    </row>
    <row r="61" spans="1:27" x14ac:dyDescent="0.2">
      <c r="E61" s="14"/>
      <c r="F61" s="14"/>
    </row>
    <row r="62" spans="1:27" x14ac:dyDescent="0.2">
      <c r="E62" s="14"/>
      <c r="F62" s="14"/>
    </row>
    <row r="63" spans="1:27" x14ac:dyDescent="0.2">
      <c r="E63" s="14"/>
      <c r="F63" s="14"/>
    </row>
    <row r="64" spans="1:27" x14ac:dyDescent="0.2">
      <c r="E64" s="14"/>
      <c r="F64" s="14"/>
    </row>
    <row r="65" spans="1:6" x14ac:dyDescent="0.2">
      <c r="E65" s="14"/>
      <c r="F65" s="14"/>
    </row>
    <row r="66" spans="1:6" x14ac:dyDescent="0.2">
      <c r="A66" s="14"/>
      <c r="B66" s="14"/>
      <c r="C66" s="14"/>
      <c r="D66" s="14"/>
      <c r="E66" s="14"/>
      <c r="F66" s="14"/>
    </row>
    <row r="67" spans="1:6" x14ac:dyDescent="0.2">
      <c r="A67" s="14"/>
      <c r="B67" s="14"/>
      <c r="C67" s="14"/>
      <c r="D67" s="14"/>
      <c r="E67" s="14"/>
      <c r="F67" s="14"/>
    </row>
    <row r="68" spans="1:6" x14ac:dyDescent="0.2">
      <c r="A68" s="14"/>
      <c r="B68" s="14"/>
      <c r="C68" s="14"/>
      <c r="D68" s="14"/>
      <c r="E68" s="14"/>
      <c r="F68" s="14"/>
    </row>
    <row r="69" spans="1:6" x14ac:dyDescent="0.2">
      <c r="A69" s="14"/>
      <c r="B69" s="14"/>
      <c r="C69" s="14"/>
      <c r="D69" s="14"/>
      <c r="E69" s="14"/>
      <c r="F69" s="14"/>
    </row>
    <row r="70" spans="1:6" x14ac:dyDescent="0.2">
      <c r="A70" s="14"/>
      <c r="B70" s="14"/>
      <c r="C70" s="14"/>
      <c r="D70" s="14"/>
      <c r="E70" s="14"/>
      <c r="F70" s="14"/>
    </row>
    <row r="71" spans="1:6" x14ac:dyDescent="0.2">
      <c r="A71" s="14"/>
      <c r="B71" s="14"/>
      <c r="C71" s="14"/>
      <c r="D71" s="14"/>
      <c r="E71" s="14"/>
      <c r="F71" s="14"/>
    </row>
    <row r="72" spans="1:6" x14ac:dyDescent="0.2">
      <c r="A72" s="14"/>
      <c r="B72" s="14"/>
      <c r="C72" s="14"/>
      <c r="D72" s="14"/>
      <c r="E72" s="14"/>
      <c r="F72" s="14"/>
    </row>
    <row r="73" spans="1:6" x14ac:dyDescent="0.2">
      <c r="A73" s="14"/>
      <c r="B73" s="14"/>
      <c r="C73" s="14"/>
      <c r="D73" s="14"/>
      <c r="E73" s="14"/>
      <c r="F73" s="14"/>
    </row>
    <row r="74" spans="1:6" x14ac:dyDescent="0.2">
      <c r="A74" s="14"/>
      <c r="B74" s="14"/>
      <c r="C74" s="14"/>
      <c r="D74" s="14"/>
      <c r="E74" s="14"/>
      <c r="F74" s="14"/>
    </row>
    <row r="75" spans="1:6" x14ac:dyDescent="0.2">
      <c r="A75" s="14"/>
      <c r="B75" s="14"/>
      <c r="C75" s="14"/>
      <c r="D75" s="14"/>
      <c r="E75" s="14"/>
      <c r="F75" s="14"/>
    </row>
    <row r="76" spans="1:6" x14ac:dyDescent="0.2">
      <c r="A76" s="14"/>
      <c r="B76" s="14"/>
      <c r="C76" s="14"/>
      <c r="D76" s="14"/>
      <c r="E76" s="14"/>
      <c r="F76" s="14"/>
    </row>
    <row r="77" spans="1:6" x14ac:dyDescent="0.2">
      <c r="A77" s="14"/>
      <c r="B77" s="14"/>
      <c r="C77" s="14"/>
      <c r="D77" s="14"/>
      <c r="E77" s="14"/>
      <c r="F77" s="14"/>
    </row>
    <row r="78" spans="1:6" x14ac:dyDescent="0.2">
      <c r="A78" s="14"/>
      <c r="B78" s="14"/>
      <c r="C78" s="14"/>
      <c r="D78" s="14"/>
      <c r="E78" s="14"/>
      <c r="F78" s="14"/>
    </row>
    <row r="79" spans="1:6" x14ac:dyDescent="0.2">
      <c r="A79" s="14"/>
      <c r="B79" s="14"/>
      <c r="C79" s="14"/>
      <c r="D79" s="14"/>
      <c r="E79" s="14"/>
      <c r="F79" s="14"/>
    </row>
    <row r="80" spans="1:6" x14ac:dyDescent="0.2">
      <c r="A80" s="14"/>
      <c r="B80" s="14"/>
      <c r="C80" s="14"/>
      <c r="D80" s="14"/>
      <c r="E80" s="14"/>
      <c r="F80" s="14"/>
    </row>
    <row r="81" spans="1:6" x14ac:dyDescent="0.2">
      <c r="A81" s="14"/>
      <c r="B81" s="14"/>
      <c r="C81" s="14"/>
      <c r="D81" s="14"/>
      <c r="E81" s="14"/>
      <c r="F81" s="14"/>
    </row>
    <row r="82" spans="1:6" x14ac:dyDescent="0.2">
      <c r="A82" s="14"/>
      <c r="B82" s="14"/>
      <c r="C82" s="14"/>
      <c r="D82" s="14"/>
      <c r="E82" s="14"/>
      <c r="F82" s="14"/>
    </row>
    <row r="83" spans="1:6" x14ac:dyDescent="0.2">
      <c r="A83" s="14"/>
      <c r="B83" s="14"/>
      <c r="C83" s="14"/>
      <c r="D83" s="14"/>
      <c r="E83" s="14"/>
      <c r="F83" s="14"/>
    </row>
    <row r="84" spans="1:6" x14ac:dyDescent="0.2">
      <c r="A84" s="14"/>
      <c r="B84" s="14"/>
      <c r="C84" s="14"/>
      <c r="D84" s="14"/>
      <c r="E84" s="14"/>
      <c r="F84" s="14"/>
    </row>
    <row r="85" spans="1:6" x14ac:dyDescent="0.2">
      <c r="A85" s="14"/>
      <c r="B85" s="14"/>
      <c r="C85" s="14"/>
      <c r="D85" s="14"/>
      <c r="E85" s="14"/>
      <c r="F85" s="14"/>
    </row>
    <row r="86" spans="1:6" x14ac:dyDescent="0.2">
      <c r="A86" s="14"/>
      <c r="B86" s="14"/>
      <c r="C86" s="14"/>
      <c r="D86" s="14"/>
      <c r="E86" s="14"/>
      <c r="F86" s="14"/>
    </row>
    <row r="87" spans="1:6" x14ac:dyDescent="0.2">
      <c r="A87" s="14"/>
      <c r="B87" s="14"/>
      <c r="C87" s="14"/>
      <c r="D87" s="14"/>
      <c r="E87" s="14"/>
      <c r="F87" s="14"/>
    </row>
    <row r="88" spans="1:6" x14ac:dyDescent="0.2">
      <c r="A88" s="14"/>
      <c r="B88" s="14"/>
      <c r="C88" s="14"/>
      <c r="D88" s="14"/>
      <c r="E88" s="14"/>
      <c r="F88" s="14"/>
    </row>
    <row r="89" spans="1:6" x14ac:dyDescent="0.2">
      <c r="A89" s="14"/>
      <c r="B89" s="14"/>
      <c r="C89" s="14"/>
      <c r="D89" s="14"/>
      <c r="E89" s="14"/>
      <c r="F89" s="14"/>
    </row>
    <row r="90" spans="1:6" x14ac:dyDescent="0.2">
      <c r="A90" s="14"/>
      <c r="B90" s="14"/>
      <c r="C90" s="14"/>
      <c r="D90" s="14"/>
      <c r="E90" s="14"/>
      <c r="F90" s="14"/>
    </row>
    <row r="91" spans="1:6" x14ac:dyDescent="0.2">
      <c r="A91" s="14"/>
      <c r="B91" s="14"/>
      <c r="C91" s="14"/>
      <c r="D91" s="14"/>
      <c r="E91" s="14"/>
      <c r="F91" s="14"/>
    </row>
    <row r="92" spans="1:6" x14ac:dyDescent="0.2">
      <c r="A92" s="14"/>
      <c r="B92" s="14"/>
      <c r="C92" s="14"/>
      <c r="D92" s="14"/>
      <c r="E92" s="14"/>
      <c r="F92" s="14"/>
    </row>
    <row r="93" spans="1:6" x14ac:dyDescent="0.2">
      <c r="A93" s="14"/>
      <c r="B93" s="14"/>
      <c r="C93" s="14"/>
      <c r="D93" s="14"/>
      <c r="E93" s="14"/>
      <c r="F93" s="14"/>
    </row>
    <row r="94" spans="1:6" x14ac:dyDescent="0.2">
      <c r="A94" s="14"/>
      <c r="B94" s="14"/>
      <c r="C94" s="14"/>
      <c r="D94" s="14"/>
      <c r="E94" s="14"/>
      <c r="F94" s="14"/>
    </row>
    <row r="95" spans="1:6" x14ac:dyDescent="0.2">
      <c r="A95" s="14"/>
      <c r="B95" s="14"/>
      <c r="C95" s="14"/>
      <c r="D95" s="14"/>
      <c r="E95" s="14"/>
      <c r="F95" s="14"/>
    </row>
    <row r="96" spans="1:6" x14ac:dyDescent="0.2">
      <c r="A96" s="14"/>
      <c r="B96" s="14"/>
      <c r="C96" s="14"/>
      <c r="D96" s="14"/>
      <c r="E96" s="14"/>
      <c r="F96" s="14"/>
    </row>
    <row r="97" spans="1:6" x14ac:dyDescent="0.2">
      <c r="A97" s="14"/>
      <c r="B97" s="14"/>
      <c r="C97" s="14"/>
      <c r="D97" s="14"/>
      <c r="E97" s="14"/>
      <c r="F97" s="14"/>
    </row>
    <row r="98" spans="1:6" x14ac:dyDescent="0.2">
      <c r="A98" s="14"/>
      <c r="B98" s="14"/>
      <c r="C98" s="14"/>
      <c r="D98" s="14"/>
      <c r="E98" s="14"/>
      <c r="F98" s="14"/>
    </row>
    <row r="99" spans="1:6" x14ac:dyDescent="0.2">
      <c r="A99" s="14"/>
      <c r="B99" s="14"/>
      <c r="C99" s="14"/>
      <c r="D99" s="14"/>
      <c r="E99" s="14"/>
      <c r="F99" s="14"/>
    </row>
    <row r="100" spans="1:6" x14ac:dyDescent="0.2">
      <c r="A100" s="14"/>
      <c r="B100" s="14"/>
      <c r="C100" s="14"/>
      <c r="D100" s="14"/>
      <c r="E100" s="14"/>
      <c r="F100" s="14"/>
    </row>
    <row r="101" spans="1:6" x14ac:dyDescent="0.2">
      <c r="A101" s="14"/>
      <c r="B101" s="14"/>
      <c r="C101" s="14"/>
      <c r="D101" s="14"/>
      <c r="E101" s="14"/>
      <c r="F101" s="14"/>
    </row>
    <row r="102" spans="1:6" x14ac:dyDescent="0.2">
      <c r="A102" s="14"/>
      <c r="B102" s="14"/>
      <c r="C102" s="14"/>
      <c r="D102" s="14"/>
      <c r="E102" s="14"/>
      <c r="F102" s="14"/>
    </row>
    <row r="103" spans="1:6" x14ac:dyDescent="0.2">
      <c r="A103" s="14"/>
      <c r="B103" s="14"/>
      <c r="C103" s="14"/>
      <c r="D103" s="14"/>
      <c r="E103" s="14"/>
      <c r="F103" s="14"/>
    </row>
    <row r="104" spans="1:6" x14ac:dyDescent="0.2">
      <c r="A104" s="14"/>
      <c r="B104" s="14"/>
      <c r="C104" s="14"/>
      <c r="D104" s="14"/>
      <c r="E104" s="14"/>
      <c r="F104" s="14"/>
    </row>
    <row r="105" spans="1:6" x14ac:dyDescent="0.2">
      <c r="A105" s="14"/>
      <c r="B105" s="14"/>
      <c r="C105" s="14"/>
      <c r="D105" s="14"/>
      <c r="E105" s="14"/>
      <c r="F105" s="14"/>
    </row>
    <row r="106" spans="1:6" x14ac:dyDescent="0.2">
      <c r="A106" s="14"/>
      <c r="B106" s="14"/>
      <c r="C106" s="14"/>
      <c r="D106" s="14"/>
      <c r="E106" s="14"/>
      <c r="F106" s="14"/>
    </row>
    <row r="107" spans="1:6" x14ac:dyDescent="0.2">
      <c r="A107" s="14"/>
      <c r="B107" s="14"/>
      <c r="C107" s="14"/>
      <c r="D107" s="14"/>
      <c r="E107" s="14"/>
      <c r="F107" s="14"/>
    </row>
    <row r="108" spans="1:6" x14ac:dyDescent="0.2">
      <c r="A108" s="14"/>
      <c r="B108" s="14"/>
      <c r="C108" s="14"/>
      <c r="D108" s="14"/>
      <c r="E108" s="14"/>
      <c r="F108" s="14"/>
    </row>
    <row r="109" spans="1:6" x14ac:dyDescent="0.2">
      <c r="A109" s="14"/>
      <c r="B109" s="14"/>
      <c r="C109" s="14"/>
      <c r="D109" s="14"/>
      <c r="E109" s="14"/>
      <c r="F109" s="14"/>
    </row>
    <row r="110" spans="1:6" x14ac:dyDescent="0.2">
      <c r="A110" s="14"/>
      <c r="B110" s="14"/>
      <c r="C110" s="14"/>
      <c r="D110" s="14"/>
      <c r="E110" s="14"/>
      <c r="F110" s="14"/>
    </row>
    <row r="111" spans="1:6" x14ac:dyDescent="0.2">
      <c r="A111" s="14"/>
      <c r="B111" s="14"/>
      <c r="C111" s="14"/>
      <c r="D111" s="14"/>
      <c r="E111" s="14"/>
      <c r="F111" s="14"/>
    </row>
    <row r="112" spans="1:6" x14ac:dyDescent="0.2">
      <c r="A112" s="14"/>
      <c r="B112" s="14"/>
      <c r="C112" s="14"/>
      <c r="D112" s="14"/>
      <c r="E112" s="14"/>
      <c r="F112" s="14"/>
    </row>
    <row r="113" spans="1:6" x14ac:dyDescent="0.2">
      <c r="A113" s="14"/>
      <c r="B113" s="14"/>
      <c r="C113" s="14"/>
      <c r="D113" s="14"/>
      <c r="E113" s="14"/>
      <c r="F113" s="14"/>
    </row>
    <row r="114" spans="1:6" x14ac:dyDescent="0.2">
      <c r="A114" s="14"/>
      <c r="B114" s="14"/>
      <c r="C114" s="14"/>
      <c r="D114" s="14"/>
      <c r="E114" s="14"/>
      <c r="F114" s="14"/>
    </row>
    <row r="115" spans="1:6" x14ac:dyDescent="0.2">
      <c r="A115" s="14"/>
      <c r="B115" s="14"/>
      <c r="C115" s="14"/>
      <c r="D115" s="14"/>
      <c r="E115" s="14"/>
      <c r="F115" s="14"/>
    </row>
    <row r="116" spans="1:6" x14ac:dyDescent="0.2">
      <c r="A116" s="14"/>
      <c r="B116" s="14"/>
      <c r="C116" s="14"/>
      <c r="D116" s="14"/>
      <c r="E116" s="14"/>
      <c r="F116" s="14"/>
    </row>
    <row r="117" spans="1:6" x14ac:dyDescent="0.2">
      <c r="A117" s="14"/>
      <c r="B117" s="14"/>
      <c r="C117" s="14"/>
      <c r="D117" s="14"/>
      <c r="E117" s="14"/>
      <c r="F117" s="14"/>
    </row>
    <row r="118" spans="1:6" x14ac:dyDescent="0.2">
      <c r="A118" s="14"/>
      <c r="B118" s="14"/>
      <c r="C118" s="14"/>
      <c r="D118" s="14"/>
      <c r="E118" s="14"/>
      <c r="F118" s="14"/>
    </row>
    <row r="119" spans="1:6" x14ac:dyDescent="0.2">
      <c r="A119" s="14"/>
      <c r="B119" s="14"/>
      <c r="C119" s="14"/>
      <c r="D119" s="14"/>
      <c r="E119" s="14"/>
      <c r="F119" s="14"/>
    </row>
    <row r="120" spans="1:6" x14ac:dyDescent="0.2">
      <c r="A120" s="14"/>
      <c r="B120" s="14"/>
      <c r="C120" s="14"/>
      <c r="D120" s="14"/>
      <c r="E120" s="14"/>
      <c r="F120" s="14"/>
    </row>
    <row r="121" spans="1:6" x14ac:dyDescent="0.2">
      <c r="A121" s="14"/>
      <c r="B121" s="14"/>
      <c r="C121" s="14"/>
      <c r="D121" s="14"/>
      <c r="E121" s="14"/>
      <c r="F121" s="14"/>
    </row>
    <row r="122" spans="1:6" x14ac:dyDescent="0.2">
      <c r="A122" s="14"/>
      <c r="B122" s="14"/>
      <c r="C122" s="14"/>
      <c r="D122" s="14"/>
      <c r="E122" s="14"/>
      <c r="F122" s="14"/>
    </row>
    <row r="123" spans="1:6" x14ac:dyDescent="0.2">
      <c r="A123" s="14"/>
      <c r="B123" s="14"/>
      <c r="C123" s="14"/>
      <c r="D123" s="14"/>
      <c r="E123" s="14"/>
      <c r="F123" s="14"/>
    </row>
    <row r="124" spans="1:6" x14ac:dyDescent="0.2">
      <c r="A124" s="14"/>
      <c r="B124" s="14"/>
      <c r="C124" s="14"/>
      <c r="D124" s="14"/>
      <c r="E124" s="14"/>
      <c r="F124" s="14"/>
    </row>
    <row r="125" spans="1:6" x14ac:dyDescent="0.2">
      <c r="A125" s="14"/>
      <c r="B125" s="14"/>
      <c r="C125" s="14"/>
      <c r="D125" s="14"/>
      <c r="E125" s="14"/>
      <c r="F125" s="14"/>
    </row>
    <row r="126" spans="1:6" x14ac:dyDescent="0.2">
      <c r="A126" s="14"/>
      <c r="B126" s="14"/>
      <c r="C126" s="14"/>
      <c r="D126" s="14"/>
      <c r="E126" s="14"/>
      <c r="F126" s="14"/>
    </row>
    <row r="127" spans="1:6" x14ac:dyDescent="0.2">
      <c r="A127" s="14"/>
      <c r="B127" s="14"/>
      <c r="C127" s="14"/>
      <c r="D127" s="14"/>
      <c r="E127" s="14"/>
      <c r="F127" s="14"/>
    </row>
    <row r="128" spans="1:6" x14ac:dyDescent="0.2">
      <c r="A128" s="14"/>
      <c r="B128" s="14"/>
      <c r="C128" s="14"/>
      <c r="D128" s="14"/>
      <c r="E128" s="14"/>
      <c r="F128" s="14"/>
    </row>
    <row r="129" spans="1:6" x14ac:dyDescent="0.2">
      <c r="A129" s="14"/>
      <c r="B129" s="14"/>
      <c r="C129" s="14"/>
      <c r="D129" s="14"/>
      <c r="E129" s="14"/>
      <c r="F129" s="14"/>
    </row>
    <row r="130" spans="1:6" x14ac:dyDescent="0.2">
      <c r="A130" s="14"/>
      <c r="B130" s="14"/>
      <c r="C130" s="14"/>
      <c r="D130" s="14"/>
      <c r="E130" s="14"/>
      <c r="F130" s="14"/>
    </row>
    <row r="131" spans="1:6" x14ac:dyDescent="0.2">
      <c r="A131" s="14"/>
      <c r="B131" s="14"/>
      <c r="C131" s="14"/>
      <c r="D131" s="14"/>
      <c r="E131" s="14"/>
      <c r="F131" s="14"/>
    </row>
    <row r="132" spans="1:6" x14ac:dyDescent="0.2">
      <c r="A132" s="14"/>
      <c r="B132" s="14"/>
      <c r="C132" s="14"/>
      <c r="D132" s="14"/>
      <c r="E132" s="14"/>
      <c r="F132" s="14"/>
    </row>
    <row r="133" spans="1:6" x14ac:dyDescent="0.2">
      <c r="A133" s="14"/>
      <c r="B133" s="14"/>
      <c r="C133" s="14"/>
      <c r="D133" s="14"/>
      <c r="E133" s="14"/>
      <c r="F133" s="14"/>
    </row>
    <row r="134" spans="1:6" x14ac:dyDescent="0.2">
      <c r="A134" s="14"/>
      <c r="B134" s="14"/>
      <c r="C134" s="14"/>
      <c r="D134" s="14"/>
      <c r="E134" s="14"/>
      <c r="F134" s="14"/>
    </row>
    <row r="135" spans="1:6" x14ac:dyDescent="0.2">
      <c r="A135" s="14"/>
      <c r="B135" s="14"/>
      <c r="C135" s="14"/>
      <c r="D135" s="14"/>
      <c r="E135" s="14"/>
      <c r="F135" s="14"/>
    </row>
    <row r="136" spans="1:6" x14ac:dyDescent="0.2">
      <c r="A136" s="14"/>
      <c r="B136" s="14"/>
      <c r="C136" s="14"/>
      <c r="D136" s="14"/>
      <c r="E136" s="14"/>
      <c r="F136" s="14"/>
    </row>
    <row r="137" spans="1:6" x14ac:dyDescent="0.2">
      <c r="A137" s="14"/>
      <c r="B137" s="14"/>
      <c r="C137" s="14"/>
      <c r="D137" s="14"/>
      <c r="E137" s="14"/>
      <c r="F137" s="14"/>
    </row>
    <row r="138" spans="1:6" x14ac:dyDescent="0.2">
      <c r="A138" s="14"/>
      <c r="B138" s="14"/>
      <c r="C138" s="14"/>
      <c r="D138" s="14"/>
      <c r="E138" s="14"/>
      <c r="F138" s="14"/>
    </row>
    <row r="139" spans="1:6" x14ac:dyDescent="0.2">
      <c r="A139" s="14"/>
      <c r="B139" s="14"/>
      <c r="C139" s="14"/>
      <c r="D139" s="14"/>
      <c r="E139" s="14"/>
      <c r="F139" s="14"/>
    </row>
    <row r="140" spans="1:6" x14ac:dyDescent="0.2">
      <c r="A140" s="14"/>
      <c r="B140" s="14"/>
      <c r="C140" s="14"/>
      <c r="D140" s="14"/>
      <c r="E140" s="14"/>
      <c r="F140" s="14"/>
    </row>
    <row r="141" spans="1:6" x14ac:dyDescent="0.2">
      <c r="A141" s="14"/>
      <c r="B141" s="14"/>
      <c r="C141" s="14"/>
      <c r="D141" s="14"/>
      <c r="E141" s="14"/>
      <c r="F141" s="14"/>
    </row>
    <row r="142" spans="1:6" x14ac:dyDescent="0.2">
      <c r="A142" s="14"/>
      <c r="B142" s="14"/>
      <c r="C142" s="14"/>
      <c r="D142" s="14"/>
      <c r="E142" s="14"/>
      <c r="F142" s="14"/>
    </row>
    <row r="143" spans="1:6" x14ac:dyDescent="0.2">
      <c r="A143" s="14"/>
      <c r="B143" s="14"/>
      <c r="C143" s="14"/>
      <c r="D143" s="14"/>
      <c r="E143" s="14"/>
      <c r="F143" s="14"/>
    </row>
    <row r="144" spans="1:6" x14ac:dyDescent="0.2">
      <c r="A144" s="14"/>
      <c r="B144" s="14"/>
      <c r="C144" s="14"/>
      <c r="D144" s="14"/>
      <c r="E144" s="14"/>
      <c r="F144" s="14"/>
    </row>
    <row r="145" spans="1:6" x14ac:dyDescent="0.2">
      <c r="A145" s="14"/>
      <c r="B145" s="14"/>
      <c r="C145" s="14"/>
      <c r="D145" s="14"/>
      <c r="E145" s="14"/>
      <c r="F145" s="14"/>
    </row>
    <row r="146" spans="1:6" x14ac:dyDescent="0.2">
      <c r="A146" s="14"/>
      <c r="B146" s="14"/>
      <c r="C146" s="14"/>
      <c r="D146" s="14"/>
      <c r="E146" s="14"/>
      <c r="F146" s="14"/>
    </row>
    <row r="147" spans="1:6" x14ac:dyDescent="0.2">
      <c r="A147" s="14"/>
      <c r="B147" s="14"/>
      <c r="C147" s="14"/>
      <c r="D147" s="14"/>
      <c r="E147" s="14"/>
      <c r="F147" s="14"/>
    </row>
    <row r="148" spans="1:6" x14ac:dyDescent="0.2">
      <c r="A148" s="14"/>
      <c r="B148" s="14"/>
      <c r="C148" s="14"/>
      <c r="D148" s="14"/>
      <c r="E148" s="14"/>
      <c r="F148" s="14"/>
    </row>
    <row r="149" spans="1:6" x14ac:dyDescent="0.2">
      <c r="A149" s="14"/>
      <c r="B149" s="14"/>
      <c r="C149" s="14"/>
      <c r="D149" s="14"/>
      <c r="E149" s="14"/>
      <c r="F149" s="14"/>
    </row>
    <row r="150" spans="1:6" x14ac:dyDescent="0.2">
      <c r="A150" s="14"/>
      <c r="B150" s="14"/>
      <c r="C150" s="14"/>
      <c r="D150" s="14"/>
      <c r="E150" s="14"/>
      <c r="F150" s="14"/>
    </row>
    <row r="151" spans="1:6" x14ac:dyDescent="0.2">
      <c r="A151" s="14"/>
      <c r="B151" s="14"/>
      <c r="C151" s="14"/>
      <c r="D151" s="14"/>
      <c r="E151" s="14"/>
      <c r="F151" s="14"/>
    </row>
    <row r="152" spans="1:6" x14ac:dyDescent="0.2">
      <c r="A152" s="14"/>
      <c r="B152" s="14"/>
      <c r="C152" s="14"/>
      <c r="D152" s="14"/>
      <c r="E152" s="14"/>
      <c r="F152" s="14"/>
    </row>
    <row r="153" spans="1:6" x14ac:dyDescent="0.2">
      <c r="A153" s="14"/>
      <c r="B153" s="14"/>
      <c r="C153" s="14"/>
      <c r="D153" s="14"/>
      <c r="E153" s="14"/>
      <c r="F153" s="14"/>
    </row>
    <row r="154" spans="1:6" x14ac:dyDescent="0.2">
      <c r="A154" s="14"/>
      <c r="B154" s="14"/>
      <c r="C154" s="14"/>
      <c r="D154" s="14"/>
      <c r="E154" s="14"/>
      <c r="F154" s="14"/>
    </row>
    <row r="155" spans="1:6" x14ac:dyDescent="0.2">
      <c r="A155" s="14"/>
      <c r="B155" s="14"/>
      <c r="C155" s="14"/>
      <c r="D155" s="14"/>
      <c r="E155" s="14"/>
      <c r="F155" s="14"/>
    </row>
    <row r="156" spans="1:6" x14ac:dyDescent="0.2">
      <c r="A156" s="14"/>
      <c r="B156" s="14"/>
      <c r="C156" s="14"/>
      <c r="D156" s="14"/>
      <c r="E156" s="14"/>
      <c r="F156" s="14"/>
    </row>
    <row r="157" spans="1:6" x14ac:dyDescent="0.2">
      <c r="A157" s="14"/>
      <c r="B157" s="14"/>
      <c r="C157" s="14"/>
      <c r="D157" s="14"/>
      <c r="E157" s="14"/>
      <c r="F157" s="14"/>
    </row>
    <row r="158" spans="1:6" x14ac:dyDescent="0.2">
      <c r="A158" s="14"/>
      <c r="B158" s="14"/>
      <c r="C158" s="14"/>
      <c r="D158" s="14"/>
      <c r="E158" s="14"/>
      <c r="F158" s="14"/>
    </row>
    <row r="159" spans="1:6" x14ac:dyDescent="0.2">
      <c r="A159" s="14"/>
      <c r="B159" s="14"/>
      <c r="C159" s="14"/>
      <c r="D159" s="14"/>
      <c r="E159" s="14"/>
      <c r="F159" s="14"/>
    </row>
    <row r="160" spans="1:6" x14ac:dyDescent="0.2">
      <c r="A160" s="14"/>
      <c r="B160" s="14"/>
      <c r="C160" s="14"/>
      <c r="D160" s="14"/>
      <c r="E160" s="14"/>
      <c r="F160" s="14"/>
    </row>
    <row r="161" spans="1:6" x14ac:dyDescent="0.2">
      <c r="A161" s="14"/>
      <c r="B161" s="14"/>
      <c r="C161" s="14"/>
      <c r="D161" s="14"/>
      <c r="E161" s="14"/>
      <c r="F161" s="14"/>
    </row>
    <row r="162" spans="1:6" x14ac:dyDescent="0.2">
      <c r="A162" s="14"/>
      <c r="B162" s="14"/>
      <c r="C162" s="14"/>
      <c r="D162" s="14"/>
      <c r="E162" s="14"/>
      <c r="F162" s="14"/>
    </row>
    <row r="163" spans="1:6" x14ac:dyDescent="0.2">
      <c r="A163" s="14"/>
      <c r="B163" s="14"/>
      <c r="C163" s="14"/>
      <c r="D163" s="14"/>
      <c r="E163" s="14"/>
      <c r="F163" s="14"/>
    </row>
    <row r="164" spans="1:6" x14ac:dyDescent="0.2">
      <c r="A164" s="14"/>
      <c r="B164" s="14"/>
      <c r="C164" s="14"/>
      <c r="D164" s="14"/>
      <c r="E164" s="14"/>
      <c r="F164" s="14"/>
    </row>
    <row r="165" spans="1:6" x14ac:dyDescent="0.2">
      <c r="A165" s="14"/>
      <c r="B165" s="14"/>
      <c r="C165" s="14"/>
      <c r="D165" s="14"/>
      <c r="E165" s="14"/>
      <c r="F165" s="14"/>
    </row>
    <row r="166" spans="1:6" x14ac:dyDescent="0.2">
      <c r="A166" s="14"/>
      <c r="B166" s="14"/>
      <c r="C166" s="14"/>
      <c r="D166" s="14"/>
      <c r="E166" s="14"/>
    </row>
    <row r="167" spans="1:6" x14ac:dyDescent="0.2">
      <c r="A167" s="14"/>
      <c r="B167" s="14"/>
      <c r="C167" s="14"/>
      <c r="D167" s="14"/>
      <c r="E167" s="14"/>
    </row>
    <row r="168" spans="1:6" x14ac:dyDescent="0.2">
      <c r="A168" s="14"/>
      <c r="B168" s="14"/>
      <c r="C168" s="14"/>
      <c r="D168" s="14"/>
      <c r="E168" s="14"/>
    </row>
  </sheetData>
  <mergeCells count="34">
    <mergeCell ref="A5:A7"/>
    <mergeCell ref="B22:M22"/>
    <mergeCell ref="N22:N23"/>
    <mergeCell ref="A14:A15"/>
    <mergeCell ref="A2:A4"/>
    <mergeCell ref="G4:N5"/>
    <mergeCell ref="B14:M14"/>
    <mergeCell ref="N14:N15"/>
    <mergeCell ref="B6:M6"/>
    <mergeCell ref="N6:N7"/>
    <mergeCell ref="AG4:AK5"/>
    <mergeCell ref="B1:H1"/>
    <mergeCell ref="B2:N2"/>
    <mergeCell ref="I1:K1"/>
    <mergeCell ref="L1:N1"/>
    <mergeCell ref="AB1:AE1"/>
    <mergeCell ref="O2:AA2"/>
    <mergeCell ref="AB2:AK2"/>
    <mergeCell ref="AF1:AH1"/>
    <mergeCell ref="AI1:AK1"/>
    <mergeCell ref="O1:U1"/>
    <mergeCell ref="V1:X1"/>
    <mergeCell ref="Y1:AA1"/>
    <mergeCell ref="B47:M47"/>
    <mergeCell ref="N47:N48"/>
    <mergeCell ref="O47:Z47"/>
    <mergeCell ref="AA47:AA48"/>
    <mergeCell ref="T4:AA5"/>
    <mergeCell ref="O22:Z22"/>
    <mergeCell ref="AA22:AA23"/>
    <mergeCell ref="AA6:AA7"/>
    <mergeCell ref="O14:Z14"/>
    <mergeCell ref="AA14:AA15"/>
    <mergeCell ref="O6:Z6"/>
  </mergeCells>
  <phoneticPr fontId="20" type="noConversion"/>
  <pageMargins left="0.39370078740157483" right="0.39370078740157483" top="0.78740157480314965" bottom="0.59055118110236227" header="0.39370078740157483" footer="0.39370078740157483"/>
  <pageSetup scale="65" fitToWidth="3" orientation="landscape" blackAndWhite="1" horizontalDpi="4294967293" verticalDpi="300" r:id="rId1"/>
  <headerFooter alignWithMargins="0">
    <oddHeader>&amp;C&amp;"Arial,Negrita"&amp;7Estudio de Factibilidad para el establecimiento de un mercado de mariscos en Hermosillo, Sonora</oddHeader>
    <oddFooter>&amp;L&amp;"Arial,Normal"&amp;7&amp;F - Hoja: &amp;A&amp;C&amp;"Arial,Normal"&amp;7&amp;D&amp;R&amp;"Arial,Normal"&amp;7&amp;P de  &amp;N</oddFooter>
  </headerFooter>
  <colBreaks count="2" manualBreakCount="2">
    <brk id="14" max="42" man="1"/>
    <brk id="27" max="42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21">
    <tabColor rgb="FFFF0000"/>
  </sheetPr>
  <dimension ref="A1:CS169"/>
  <sheetViews>
    <sheetView showGridLines="0" view="pageBreakPreview" zoomScale="65" zoomScaleNormal="70" zoomScaleSheetLayoutView="65" workbookViewId="0">
      <selection activeCell="B57" sqref="B57"/>
    </sheetView>
  </sheetViews>
  <sheetFormatPr baseColWidth="10" defaultColWidth="11" defaultRowHeight="12.75" x14ac:dyDescent="0.2"/>
  <cols>
    <col min="1" max="1" width="21.875" style="16" customWidth="1"/>
    <col min="2" max="14" width="11.75" style="16" customWidth="1"/>
    <col min="15" max="15" width="13.375" style="16" customWidth="1"/>
    <col min="16" max="27" width="11.75" style="16" customWidth="1"/>
    <col min="28" max="37" width="15.25" style="16" customWidth="1"/>
    <col min="38" max="72" width="8.625" style="16" customWidth="1"/>
    <col min="73" max="16384" width="11" style="16"/>
  </cols>
  <sheetData>
    <row r="1" spans="1:85" ht="18" customHeight="1" x14ac:dyDescent="0.2">
      <c r="A1" s="1148" t="s">
        <v>307</v>
      </c>
      <c r="B1" s="1971" t="str">
        <f>+'19 Resumen'!D4</f>
        <v>La Lasaña de Garfield</v>
      </c>
      <c r="C1" s="1971"/>
      <c r="D1" s="1971"/>
      <c r="E1" s="1971"/>
      <c r="F1" s="1971"/>
      <c r="G1" s="1971"/>
      <c r="H1" s="1971"/>
      <c r="I1" s="1971" t="str">
        <f>+'19 Resumen'!D5</f>
        <v>Martin Delgado</v>
      </c>
      <c r="J1" s="1971"/>
      <c r="K1" s="1971"/>
      <c r="L1" s="1971" t="str">
        <f>+'19 Resumen'!D6</f>
        <v>Grupo Delgado´s</v>
      </c>
      <c r="M1" s="1971"/>
      <c r="N1" s="1971"/>
      <c r="O1" s="1971" t="str">
        <f>+B1</f>
        <v>La Lasaña de Garfield</v>
      </c>
      <c r="P1" s="1971"/>
      <c r="Q1" s="1971"/>
      <c r="R1" s="1971"/>
      <c r="S1" s="1971"/>
      <c r="T1" s="1971"/>
      <c r="U1" s="1971"/>
      <c r="V1" s="1971" t="str">
        <f>+I1</f>
        <v>Martin Delgado</v>
      </c>
      <c r="W1" s="1971"/>
      <c r="X1" s="1971"/>
      <c r="Y1" s="1971" t="str">
        <f>+L1</f>
        <v>Grupo Delgado´s</v>
      </c>
      <c r="Z1" s="1971"/>
      <c r="AA1" s="1971"/>
      <c r="AB1" s="1966" t="str">
        <f>+O1</f>
        <v>La Lasaña de Garfield</v>
      </c>
      <c r="AC1" s="1966"/>
      <c r="AD1" s="1966"/>
      <c r="AE1" s="1966"/>
      <c r="AF1" s="1966" t="str">
        <f>+V1</f>
        <v>Martin Delgado</v>
      </c>
      <c r="AG1" s="1966"/>
      <c r="AH1" s="1966"/>
      <c r="AI1" s="1966" t="str">
        <f>+Y1</f>
        <v>Grupo Delgado´s</v>
      </c>
      <c r="AJ1" s="1966"/>
      <c r="AK1" s="1966"/>
      <c r="AL1" s="53">
        <v>1</v>
      </c>
      <c r="AM1" s="39"/>
      <c r="AN1" s="39"/>
      <c r="AO1" s="39"/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  <c r="BM1" s="39"/>
      <c r="BN1" s="39"/>
      <c r="BO1" s="39"/>
      <c r="BP1" s="39"/>
      <c r="BQ1" s="39"/>
      <c r="BR1" s="39"/>
      <c r="BS1" s="39"/>
      <c r="BT1" s="39"/>
      <c r="BU1" s="39"/>
      <c r="BV1" s="39"/>
      <c r="BW1" s="39"/>
      <c r="BX1" s="39"/>
      <c r="BY1" s="39"/>
      <c r="BZ1" s="39"/>
      <c r="CA1" s="39"/>
      <c r="CB1" s="39"/>
      <c r="CC1" s="39"/>
      <c r="CD1" s="39"/>
      <c r="CE1" s="39"/>
      <c r="CF1" s="39"/>
      <c r="CG1" s="39"/>
    </row>
    <row r="2" spans="1:85" ht="18" customHeight="1" x14ac:dyDescent="0.2">
      <c r="A2" s="1969">
        <f>+'19 Resumen'!D2</f>
        <v>42747</v>
      </c>
      <c r="B2" s="1971" t="s">
        <v>399</v>
      </c>
      <c r="C2" s="1971"/>
      <c r="D2" s="1971"/>
      <c r="E2" s="1971"/>
      <c r="F2" s="1971"/>
      <c r="G2" s="1971"/>
      <c r="H2" s="1971"/>
      <c r="I2" s="1971"/>
      <c r="J2" s="1971"/>
      <c r="K2" s="1971"/>
      <c r="L2" s="1971"/>
      <c r="M2" s="1971"/>
      <c r="N2" s="1971"/>
      <c r="O2" s="1971" t="str">
        <f>+B2</f>
        <v>Credito de Avío</v>
      </c>
      <c r="P2" s="1971"/>
      <c r="Q2" s="1971"/>
      <c r="R2" s="1971"/>
      <c r="S2" s="1971"/>
      <c r="T2" s="1971"/>
      <c r="U2" s="1971"/>
      <c r="V2" s="1971"/>
      <c r="W2" s="1971"/>
      <c r="X2" s="1971"/>
      <c r="Y2" s="1971"/>
      <c r="Z2" s="1971"/>
      <c r="AA2" s="1971"/>
      <c r="AB2" s="1966" t="str">
        <f>+O2</f>
        <v>Credito de Avío</v>
      </c>
      <c r="AC2" s="1966"/>
      <c r="AD2" s="1966"/>
      <c r="AE2" s="1966"/>
      <c r="AF2" s="1966"/>
      <c r="AG2" s="1966"/>
      <c r="AH2" s="1966"/>
      <c r="AI2" s="1966"/>
      <c r="AJ2" s="1966"/>
      <c r="AK2" s="1966"/>
      <c r="AL2" s="39"/>
      <c r="AM2" s="39"/>
      <c r="AN2" s="39"/>
      <c r="AO2" s="39"/>
      <c r="AP2" s="39"/>
      <c r="AQ2" s="39"/>
      <c r="AR2" s="39"/>
      <c r="AS2" s="39"/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/>
      <c r="CB2" s="39"/>
      <c r="CC2" s="39"/>
      <c r="CD2" s="39"/>
      <c r="CE2" s="39"/>
      <c r="CF2" s="39"/>
      <c r="CG2" s="39"/>
    </row>
    <row r="3" spans="1:85" ht="18" hidden="1" customHeight="1" thickBot="1" x14ac:dyDescent="0.25">
      <c r="A3" s="1969"/>
      <c r="B3" s="1149">
        <v>1</v>
      </c>
      <c r="C3" s="1149">
        <f t="shared" ref="C3:M3" si="0">+B3+1</f>
        <v>2</v>
      </c>
      <c r="D3" s="1149">
        <f t="shared" si="0"/>
        <v>3</v>
      </c>
      <c r="E3" s="1149">
        <f t="shared" si="0"/>
        <v>4</v>
      </c>
      <c r="F3" s="1149">
        <f t="shared" si="0"/>
        <v>5</v>
      </c>
      <c r="G3" s="1149">
        <f t="shared" si="0"/>
        <v>6</v>
      </c>
      <c r="H3" s="1149">
        <f t="shared" si="0"/>
        <v>7</v>
      </c>
      <c r="I3" s="1149">
        <f t="shared" si="0"/>
        <v>8</v>
      </c>
      <c r="J3" s="1149">
        <f t="shared" si="0"/>
        <v>9</v>
      </c>
      <c r="K3" s="1149">
        <f t="shared" si="0"/>
        <v>10</v>
      </c>
      <c r="L3" s="1149">
        <f t="shared" si="0"/>
        <v>11</v>
      </c>
      <c r="M3" s="1149">
        <f t="shared" si="0"/>
        <v>12</v>
      </c>
      <c r="N3" s="1133"/>
      <c r="O3" s="1150">
        <f>+M3+1</f>
        <v>13</v>
      </c>
      <c r="P3" s="1149">
        <f t="shared" ref="P3:Z3" si="1">+O3+1</f>
        <v>14</v>
      </c>
      <c r="Q3" s="1149">
        <f t="shared" si="1"/>
        <v>15</v>
      </c>
      <c r="R3" s="1149">
        <f t="shared" si="1"/>
        <v>16</v>
      </c>
      <c r="S3" s="1149">
        <f t="shared" si="1"/>
        <v>17</v>
      </c>
      <c r="T3" s="1149">
        <f t="shared" si="1"/>
        <v>18</v>
      </c>
      <c r="U3" s="1149">
        <f t="shared" si="1"/>
        <v>19</v>
      </c>
      <c r="V3" s="1149">
        <f t="shared" si="1"/>
        <v>20</v>
      </c>
      <c r="W3" s="1149">
        <f t="shared" si="1"/>
        <v>21</v>
      </c>
      <c r="X3" s="1149">
        <f t="shared" si="1"/>
        <v>22</v>
      </c>
      <c r="Y3" s="1149">
        <f t="shared" si="1"/>
        <v>23</v>
      </c>
      <c r="Z3" s="1149">
        <f t="shared" si="1"/>
        <v>24</v>
      </c>
      <c r="AA3" s="1151"/>
      <c r="AB3" s="1151"/>
      <c r="AC3" s="1151"/>
      <c r="AD3" s="1151"/>
      <c r="AE3" s="1151"/>
      <c r="AF3" s="1151"/>
      <c r="AG3" s="1151"/>
      <c r="AH3" s="1151"/>
      <c r="AI3" s="1151"/>
      <c r="AJ3" s="1151"/>
      <c r="AK3" s="1151"/>
      <c r="AL3" s="39"/>
      <c r="AM3" s="39"/>
      <c r="AN3" s="39"/>
      <c r="AO3" s="39"/>
      <c r="AP3" s="39"/>
      <c r="AQ3" s="39"/>
      <c r="AR3" s="39"/>
      <c r="AS3" s="39"/>
      <c r="AT3" s="39"/>
      <c r="AU3" s="39"/>
      <c r="AV3" s="39"/>
      <c r="AW3" s="39"/>
      <c r="AX3" s="39"/>
      <c r="AY3" s="39"/>
      <c r="AZ3" s="39"/>
      <c r="BA3" s="39"/>
      <c r="BB3" s="39"/>
      <c r="BC3" s="39"/>
      <c r="BD3" s="39"/>
      <c r="BE3" s="39"/>
      <c r="BF3" s="39"/>
      <c r="BG3" s="39"/>
      <c r="BH3" s="39"/>
      <c r="BI3" s="39"/>
      <c r="BJ3" s="39"/>
      <c r="BK3" s="39"/>
      <c r="BL3" s="39"/>
      <c r="BM3" s="39"/>
      <c r="BN3" s="39"/>
      <c r="BO3" s="39"/>
      <c r="BP3" s="39"/>
      <c r="BQ3" s="39"/>
      <c r="BR3" s="39"/>
      <c r="BS3" s="39"/>
      <c r="BT3" s="39"/>
      <c r="BU3" s="39"/>
      <c r="BV3" s="39"/>
      <c r="BW3" s="39"/>
      <c r="BX3" s="39"/>
      <c r="BY3" s="39"/>
      <c r="BZ3" s="39"/>
      <c r="CA3" s="39"/>
      <c r="CB3" s="39"/>
      <c r="CC3" s="39"/>
      <c r="CD3" s="39"/>
      <c r="CE3" s="39"/>
      <c r="CF3" s="39"/>
      <c r="CG3" s="39"/>
    </row>
    <row r="4" spans="1:85" ht="18" customHeight="1" x14ac:dyDescent="0.2">
      <c r="A4" s="1969"/>
      <c r="B4" s="1135" t="s">
        <v>203</v>
      </c>
      <c r="C4" s="1136" t="s">
        <v>186</v>
      </c>
      <c r="D4" s="1136" t="s">
        <v>185</v>
      </c>
      <c r="E4" s="1135" t="s">
        <v>187</v>
      </c>
      <c r="F4" s="1152" t="s">
        <v>349</v>
      </c>
      <c r="G4" s="33"/>
      <c r="H4" s="1972" t="str">
        <f>IF(AL1=2, "Pago a la Cosecha", IF(AL1=3, "Pago Mensual",IF(AL1=4,"Pago Unico"," ")))</f>
        <v xml:space="preserve"> </v>
      </c>
      <c r="I4" s="1972"/>
      <c r="J4" s="1964" t="str">
        <f>IF(AL1=1,"Credito sobre saldos insolutos", IF(AL1=2,"Intereses y capital a la cosecha, capitalizado mensual", IF(AL1=3,"Pagos fijos mensuales e interes sobre saldos insolutos", IF(AL1=4,"Pago pactado a la cosecha con intereses",0))))</f>
        <v>Credito sobre saldos insolutos</v>
      </c>
      <c r="K4" s="1964"/>
      <c r="L4" s="1964"/>
      <c r="M4" s="1964"/>
      <c r="N4" s="1151"/>
      <c r="O4" s="1135" t="str">
        <f t="shared" ref="O4:R5" si="2">+B4</f>
        <v>Crédito</v>
      </c>
      <c r="P4" s="1136" t="str">
        <f t="shared" si="2"/>
        <v>Tasa:</v>
      </c>
      <c r="Q4" s="1136" t="str">
        <f t="shared" si="2"/>
        <v>Gracia</v>
      </c>
      <c r="R4" s="1136" t="str">
        <f t="shared" si="2"/>
        <v>Periodo</v>
      </c>
      <c r="S4" s="1136" t="str">
        <f>+F4</f>
        <v>Entrega</v>
      </c>
      <c r="T4" s="1964" t="str">
        <f>+J4</f>
        <v>Credito sobre saldos insolutos</v>
      </c>
      <c r="U4" s="1964"/>
      <c r="V4" s="1964"/>
      <c r="W4" s="1964"/>
      <c r="X4" s="1964"/>
      <c r="Y4" s="1964"/>
      <c r="Z4" s="1964"/>
      <c r="AA4" s="1964"/>
      <c r="AB4" s="1135" t="str">
        <f t="shared" ref="AB4:AF5" si="3">+O4</f>
        <v>Crédito</v>
      </c>
      <c r="AC4" s="1136" t="str">
        <f t="shared" si="3"/>
        <v>Tasa:</v>
      </c>
      <c r="AD4" s="1136" t="str">
        <f t="shared" si="3"/>
        <v>Gracia</v>
      </c>
      <c r="AE4" s="1136" t="str">
        <f t="shared" si="3"/>
        <v>Periodo</v>
      </c>
      <c r="AF4" s="1136" t="str">
        <f t="shared" si="3"/>
        <v>Entrega</v>
      </c>
      <c r="AG4" s="1964" t="str">
        <f>+T4</f>
        <v>Credito sobre saldos insolutos</v>
      </c>
      <c r="AH4" s="1964"/>
      <c r="AI4" s="1964"/>
      <c r="AJ4" s="1964"/>
      <c r="AK4" s="1964"/>
      <c r="AL4" s="39"/>
      <c r="AM4" s="39"/>
      <c r="AN4" s="48"/>
      <c r="AO4" s="39"/>
      <c r="AP4" s="39"/>
      <c r="AQ4" s="39"/>
      <c r="AR4" s="39"/>
      <c r="AS4" s="39"/>
      <c r="AT4" s="39"/>
      <c r="AU4" s="39"/>
      <c r="AV4" s="39"/>
      <c r="AW4" s="39"/>
      <c r="AX4" s="39"/>
      <c r="AY4" s="39"/>
      <c r="AZ4" s="39"/>
      <c r="BA4" s="39"/>
      <c r="BB4" s="39"/>
      <c r="BC4" s="39"/>
      <c r="BD4" s="39"/>
      <c r="BE4" s="39"/>
      <c r="BF4" s="39"/>
      <c r="BG4" s="39"/>
      <c r="BH4" s="39"/>
      <c r="BI4" s="39"/>
      <c r="BJ4" s="39"/>
      <c r="BK4" s="39"/>
      <c r="BL4" s="39"/>
      <c r="BM4" s="39"/>
      <c r="BN4" s="39"/>
      <c r="BO4" s="39"/>
      <c r="BP4" s="39"/>
      <c r="BQ4" s="39"/>
      <c r="BR4" s="39"/>
      <c r="BS4" s="39"/>
      <c r="BT4" s="39"/>
      <c r="BU4" s="39"/>
      <c r="BV4" s="39"/>
      <c r="BW4" s="39"/>
      <c r="BX4" s="39"/>
      <c r="BY4" s="39"/>
      <c r="BZ4" s="39"/>
      <c r="CA4" s="39"/>
      <c r="CB4" s="39"/>
      <c r="CC4" s="39"/>
      <c r="CD4" s="39"/>
      <c r="CE4" s="39"/>
      <c r="CF4" s="39"/>
      <c r="CG4" s="39"/>
    </row>
    <row r="5" spans="1:85" ht="18" customHeight="1" x14ac:dyDescent="0.2">
      <c r="A5" s="1966" t="s">
        <v>136</v>
      </c>
      <c r="B5" s="1136">
        <f>+'19 Resumen'!D14</f>
        <v>50000</v>
      </c>
      <c r="C5" s="1153">
        <f>+'19 Resumen'!D15</f>
        <v>0.12</v>
      </c>
      <c r="D5" s="1136">
        <f>+'19 Resumen'!D17</f>
        <v>3</v>
      </c>
      <c r="E5" s="1136">
        <f>+'19 Resumen'!D16</f>
        <v>36</v>
      </c>
      <c r="F5" s="1136">
        <f>+'19 Resumen'!D18</f>
        <v>5</v>
      </c>
      <c r="G5" s="33"/>
      <c r="H5" s="1970" t="str">
        <f>IF(AL1=2,B5/G5, IF(AL1=3,#REF!, IF(AL1=4, +#REF!, " ")))</f>
        <v xml:space="preserve"> </v>
      </c>
      <c r="I5" s="1970"/>
      <c r="J5" s="1964"/>
      <c r="K5" s="1964"/>
      <c r="L5" s="1964"/>
      <c r="M5" s="1964"/>
      <c r="N5" s="1133"/>
      <c r="O5" s="1136">
        <f t="shared" si="2"/>
        <v>50000</v>
      </c>
      <c r="P5" s="1153">
        <f t="shared" si="2"/>
        <v>0.12</v>
      </c>
      <c r="Q5" s="1154">
        <f t="shared" si="2"/>
        <v>3</v>
      </c>
      <c r="R5" s="1154">
        <f t="shared" si="2"/>
        <v>36</v>
      </c>
      <c r="S5" s="1154">
        <f>+F5</f>
        <v>5</v>
      </c>
      <c r="T5" s="1964"/>
      <c r="U5" s="1964"/>
      <c r="V5" s="1964"/>
      <c r="W5" s="1964"/>
      <c r="X5" s="1964"/>
      <c r="Y5" s="1964"/>
      <c r="Z5" s="1964"/>
      <c r="AA5" s="1964"/>
      <c r="AB5" s="1136">
        <f t="shared" si="3"/>
        <v>50000</v>
      </c>
      <c r="AC5" s="1153">
        <f t="shared" si="3"/>
        <v>0.12</v>
      </c>
      <c r="AD5" s="1136">
        <f t="shared" si="3"/>
        <v>3</v>
      </c>
      <c r="AE5" s="1136">
        <f t="shared" si="3"/>
        <v>36</v>
      </c>
      <c r="AF5" s="1136">
        <f t="shared" si="3"/>
        <v>5</v>
      </c>
      <c r="AG5" s="1964"/>
      <c r="AH5" s="1964"/>
      <c r="AI5" s="1964"/>
      <c r="AJ5" s="1964"/>
      <c r="AK5" s="1964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  <c r="AW5" s="39"/>
      <c r="AX5" s="39"/>
      <c r="AY5" s="39"/>
      <c r="AZ5" s="39"/>
      <c r="BA5" s="39"/>
      <c r="BB5" s="39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9"/>
      <c r="CB5" s="39"/>
      <c r="CC5" s="39"/>
      <c r="CD5" s="39"/>
      <c r="CE5" s="39"/>
      <c r="CF5" s="39"/>
      <c r="CG5" s="39"/>
    </row>
    <row r="6" spans="1:85" ht="18" customHeight="1" x14ac:dyDescent="0.2">
      <c r="A6" s="1966"/>
      <c r="B6" s="1962">
        <f>+'15 Crédito Refaccionario'!B6</f>
        <v>2017</v>
      </c>
      <c r="C6" s="1962"/>
      <c r="D6" s="1962"/>
      <c r="E6" s="1962"/>
      <c r="F6" s="1962"/>
      <c r="G6" s="1962"/>
      <c r="H6" s="1962"/>
      <c r="I6" s="1962"/>
      <c r="J6" s="1962"/>
      <c r="K6" s="1962"/>
      <c r="L6" s="1962"/>
      <c r="M6" s="1962"/>
      <c r="N6" s="1963" t="s">
        <v>130</v>
      </c>
      <c r="O6" s="1962">
        <f>+B6+1</f>
        <v>2018</v>
      </c>
      <c r="P6" s="1962"/>
      <c r="Q6" s="1962"/>
      <c r="R6" s="1962"/>
      <c r="S6" s="1962"/>
      <c r="T6" s="1962"/>
      <c r="U6" s="1962"/>
      <c r="V6" s="1962"/>
      <c r="W6" s="1962"/>
      <c r="X6" s="1962"/>
      <c r="Y6" s="1962"/>
      <c r="Z6" s="1962"/>
      <c r="AA6" s="1963" t="s">
        <v>132</v>
      </c>
      <c r="AB6" s="1155" t="s">
        <v>1</v>
      </c>
      <c r="AC6" s="1155" t="s">
        <v>1</v>
      </c>
      <c r="AD6" s="1155" t="s">
        <v>1</v>
      </c>
      <c r="AE6" s="1155" t="s">
        <v>1</v>
      </c>
      <c r="AF6" s="1155" t="s">
        <v>1</v>
      </c>
      <c r="AG6" s="1155" t="s">
        <v>1</v>
      </c>
      <c r="AH6" s="1155" t="s">
        <v>1</v>
      </c>
      <c r="AI6" s="1155" t="s">
        <v>1</v>
      </c>
      <c r="AJ6" s="1155" t="s">
        <v>1</v>
      </c>
      <c r="AK6" s="1155" t="s">
        <v>1</v>
      </c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</row>
    <row r="7" spans="1:85" ht="18" customHeight="1" x14ac:dyDescent="0.2">
      <c r="A7" s="1966"/>
      <c r="B7" s="1141" t="s">
        <v>60</v>
      </c>
      <c r="C7" s="1141" t="s">
        <v>61</v>
      </c>
      <c r="D7" s="1141" t="s">
        <v>62</v>
      </c>
      <c r="E7" s="1141" t="s">
        <v>63</v>
      </c>
      <c r="F7" s="1141" t="s">
        <v>64</v>
      </c>
      <c r="G7" s="1141" t="s">
        <v>65</v>
      </c>
      <c r="H7" s="1141" t="s">
        <v>66</v>
      </c>
      <c r="I7" s="1141" t="s">
        <v>67</v>
      </c>
      <c r="J7" s="1141" t="s">
        <v>68</v>
      </c>
      <c r="K7" s="1141" t="s">
        <v>69</v>
      </c>
      <c r="L7" s="1141" t="s">
        <v>70</v>
      </c>
      <c r="M7" s="1141" t="s">
        <v>71</v>
      </c>
      <c r="N7" s="1963"/>
      <c r="O7" s="1141" t="s">
        <v>60</v>
      </c>
      <c r="P7" s="1141" t="s">
        <v>61</v>
      </c>
      <c r="Q7" s="1141" t="s">
        <v>62</v>
      </c>
      <c r="R7" s="1141" t="s">
        <v>63</v>
      </c>
      <c r="S7" s="1141" t="s">
        <v>64</v>
      </c>
      <c r="T7" s="1141" t="s">
        <v>65</v>
      </c>
      <c r="U7" s="1141" t="s">
        <v>66</v>
      </c>
      <c r="V7" s="1141" t="s">
        <v>67</v>
      </c>
      <c r="W7" s="1141" t="s">
        <v>68</v>
      </c>
      <c r="X7" s="1141" t="s">
        <v>69</v>
      </c>
      <c r="Y7" s="1141" t="s">
        <v>70</v>
      </c>
      <c r="Z7" s="1141" t="s">
        <v>71</v>
      </c>
      <c r="AA7" s="1963"/>
      <c r="AB7" s="1155">
        <f>+'17 Hoja de Trabajo'!B5</f>
        <v>2017</v>
      </c>
      <c r="AC7" s="1155">
        <f t="shared" ref="AC7:AK7" si="4">+AB7+1</f>
        <v>2018</v>
      </c>
      <c r="AD7" s="1155">
        <f t="shared" si="4"/>
        <v>2019</v>
      </c>
      <c r="AE7" s="1155">
        <f t="shared" si="4"/>
        <v>2020</v>
      </c>
      <c r="AF7" s="1155">
        <f t="shared" si="4"/>
        <v>2021</v>
      </c>
      <c r="AG7" s="1155">
        <f t="shared" si="4"/>
        <v>2022</v>
      </c>
      <c r="AH7" s="1155">
        <f t="shared" si="4"/>
        <v>2023</v>
      </c>
      <c r="AI7" s="1155">
        <f t="shared" si="4"/>
        <v>2024</v>
      </c>
      <c r="AJ7" s="1155">
        <f t="shared" si="4"/>
        <v>2025</v>
      </c>
      <c r="AK7" s="1155">
        <f t="shared" si="4"/>
        <v>2026</v>
      </c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</row>
    <row r="8" spans="1:85" ht="18" customHeight="1" x14ac:dyDescent="0.2">
      <c r="A8" s="1142" t="s">
        <v>43</v>
      </c>
      <c r="B8" s="35">
        <f t="shared" ref="B8:M8" si="5">IF(B31=0,0,IF(B31=1,$B$5,A12))</f>
        <v>0</v>
      </c>
      <c r="C8" s="35">
        <f t="shared" si="5"/>
        <v>0</v>
      </c>
      <c r="D8" s="35">
        <f t="shared" si="5"/>
        <v>0</v>
      </c>
      <c r="E8" s="35">
        <f t="shared" si="5"/>
        <v>0</v>
      </c>
      <c r="F8" s="35">
        <f t="shared" si="5"/>
        <v>50000</v>
      </c>
      <c r="G8" s="35">
        <f t="shared" si="5"/>
        <v>50000</v>
      </c>
      <c r="H8" s="35">
        <f t="shared" si="5"/>
        <v>50000</v>
      </c>
      <c r="I8" s="35">
        <f t="shared" si="5"/>
        <v>50000</v>
      </c>
      <c r="J8" s="35">
        <f t="shared" si="5"/>
        <v>50000</v>
      </c>
      <c r="K8" s="35">
        <f t="shared" si="5"/>
        <v>48484.848484848488</v>
      </c>
      <c r="L8" s="35">
        <f t="shared" si="5"/>
        <v>46969.696969696975</v>
      </c>
      <c r="M8" s="35">
        <f t="shared" si="5"/>
        <v>45454.545454545463</v>
      </c>
      <c r="N8" s="1143">
        <f>IF(M8=0,0,B5)</f>
        <v>50000</v>
      </c>
      <c r="O8" s="35">
        <f t="shared" ref="O8:Z8" si="6">IF(O31=0,0,IF(O31=1,$B$5,N12))</f>
        <v>43939.393939393951</v>
      </c>
      <c r="P8" s="35">
        <f t="shared" si="6"/>
        <v>42424.242424242439</v>
      </c>
      <c r="Q8" s="35">
        <f t="shared" si="6"/>
        <v>40909.090909090926</v>
      </c>
      <c r="R8" s="35">
        <f t="shared" si="6"/>
        <v>39393.939393939414</v>
      </c>
      <c r="S8" s="35">
        <f t="shared" si="6"/>
        <v>37878.787878787902</v>
      </c>
      <c r="T8" s="35">
        <f t="shared" si="6"/>
        <v>36363.636363636389</v>
      </c>
      <c r="U8" s="35">
        <f t="shared" si="6"/>
        <v>34848.484848484877</v>
      </c>
      <c r="V8" s="35">
        <f t="shared" si="6"/>
        <v>33333.333333333365</v>
      </c>
      <c r="W8" s="35">
        <f t="shared" si="6"/>
        <v>31818.181818181849</v>
      </c>
      <c r="X8" s="35">
        <f t="shared" si="6"/>
        <v>30303.030303030333</v>
      </c>
      <c r="Y8" s="35">
        <f t="shared" si="6"/>
        <v>28787.878787878817</v>
      </c>
      <c r="Z8" s="35">
        <f t="shared" si="6"/>
        <v>27272.727272727301</v>
      </c>
      <c r="AA8" s="1156">
        <f>+O8</f>
        <v>43939.393939393951</v>
      </c>
      <c r="AB8" s="34">
        <f>+N8</f>
        <v>50000</v>
      </c>
      <c r="AC8" s="34">
        <f>+AA8</f>
        <v>43939.393939393951</v>
      </c>
      <c r="AD8" s="34">
        <f>+N16</f>
        <v>25757.575757575785</v>
      </c>
      <c r="AE8" s="34">
        <f>+AA16</f>
        <v>7575.7575757575951</v>
      </c>
      <c r="AF8" s="34">
        <f>+N24</f>
        <v>0</v>
      </c>
      <c r="AG8" s="34">
        <f>+AA24</f>
        <v>0</v>
      </c>
      <c r="AH8" s="34">
        <f>+N49</f>
        <v>0</v>
      </c>
      <c r="AI8" s="34"/>
      <c r="AJ8" s="34"/>
      <c r="AK8" s="34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</row>
    <row r="9" spans="1:85" ht="18" customHeight="1" x14ac:dyDescent="0.2">
      <c r="A9" s="1142" t="s">
        <v>267</v>
      </c>
      <c r="B9" s="35">
        <f>IF(F5=1,0,(B8*$C$5/12))</f>
        <v>0</v>
      </c>
      <c r="C9" s="35">
        <f>IF(B31=0,0,(C8*$C$5/12))</f>
        <v>0</v>
      </c>
      <c r="D9" s="35">
        <f>IF(C31=0,0,(D8*$C$5/12))</f>
        <v>0</v>
      </c>
      <c r="E9" s="35">
        <f>IF(D31=0,0,(E8*$C$5/12))</f>
        <v>0</v>
      </c>
      <c r="F9" s="35">
        <f t="shared" ref="F9:M9" si="7">IF(E31=0,0,(F8*$C$5/12))</f>
        <v>0</v>
      </c>
      <c r="G9" s="35">
        <f t="shared" si="7"/>
        <v>500</v>
      </c>
      <c r="H9" s="35">
        <f t="shared" si="7"/>
        <v>500</v>
      </c>
      <c r="I9" s="35">
        <f t="shared" si="7"/>
        <v>500</v>
      </c>
      <c r="J9" s="35">
        <f t="shared" si="7"/>
        <v>500</v>
      </c>
      <c r="K9" s="35">
        <f t="shared" si="7"/>
        <v>484.84848484848482</v>
      </c>
      <c r="L9" s="35">
        <f t="shared" si="7"/>
        <v>469.69696969696975</v>
      </c>
      <c r="M9" s="35">
        <f t="shared" si="7"/>
        <v>454.54545454545456</v>
      </c>
      <c r="N9" s="1143">
        <f>SUM(B9:M9)</f>
        <v>3409.0909090909095</v>
      </c>
      <c r="O9" s="35">
        <f>IF(M31=0,0,(O8*$C$5/12))</f>
        <v>439.39393939393949</v>
      </c>
      <c r="P9" s="35">
        <f t="shared" ref="P9:Z9" si="8">IF(O31=0,0,(P8*$C$5/12))</f>
        <v>424.24242424242442</v>
      </c>
      <c r="Q9" s="35">
        <f t="shared" si="8"/>
        <v>409.09090909090924</v>
      </c>
      <c r="R9" s="35">
        <f t="shared" si="8"/>
        <v>393.93939393939417</v>
      </c>
      <c r="S9" s="35">
        <f t="shared" si="8"/>
        <v>378.78787878787898</v>
      </c>
      <c r="T9" s="35">
        <f t="shared" si="8"/>
        <v>363.63636363636391</v>
      </c>
      <c r="U9" s="35">
        <f t="shared" si="8"/>
        <v>348.48484848484873</v>
      </c>
      <c r="V9" s="35">
        <f t="shared" si="8"/>
        <v>333.33333333333366</v>
      </c>
      <c r="W9" s="35">
        <f t="shared" si="8"/>
        <v>318.18181818181847</v>
      </c>
      <c r="X9" s="35">
        <f t="shared" si="8"/>
        <v>303.03030303030329</v>
      </c>
      <c r="Y9" s="35">
        <f t="shared" si="8"/>
        <v>287.87878787878816</v>
      </c>
      <c r="Z9" s="35">
        <f t="shared" si="8"/>
        <v>272.72727272727303</v>
      </c>
      <c r="AA9" s="1156">
        <f>SUM(O9:Z9)</f>
        <v>4272.7272727272757</v>
      </c>
      <c r="AB9" s="34">
        <f>+N9</f>
        <v>3409.0909090909095</v>
      </c>
      <c r="AC9" s="34">
        <f>+AA9</f>
        <v>4272.7272727272757</v>
      </c>
      <c r="AD9" s="34">
        <f>+N17</f>
        <v>2090.9090909090937</v>
      </c>
      <c r="AE9" s="34">
        <f>+AA17</f>
        <v>227.27272727272825</v>
      </c>
      <c r="AF9" s="34">
        <f>+N25</f>
        <v>0</v>
      </c>
      <c r="AG9" s="34">
        <f>+AA25</f>
        <v>0</v>
      </c>
      <c r="AH9" s="34">
        <f t="shared" ref="AH9:AH12" si="9">+N50</f>
        <v>0</v>
      </c>
      <c r="AI9" s="34"/>
      <c r="AJ9" s="34"/>
      <c r="AK9" s="34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</row>
    <row r="10" spans="1:85" ht="18" customHeight="1" x14ac:dyDescent="0.2">
      <c r="A10" s="1142" t="s">
        <v>44</v>
      </c>
      <c r="B10" s="35">
        <f t="shared" ref="B10:M10" si="10">IF(B8=0,0,IF(B30&lt;=$F$5+$D$5,0,$B$5/($E$5-$D$5)))</f>
        <v>0</v>
      </c>
      <c r="C10" s="35">
        <f t="shared" si="10"/>
        <v>0</v>
      </c>
      <c r="D10" s="35">
        <f t="shared" si="10"/>
        <v>0</v>
      </c>
      <c r="E10" s="35">
        <f t="shared" si="10"/>
        <v>0</v>
      </c>
      <c r="F10" s="35">
        <f t="shared" si="10"/>
        <v>0</v>
      </c>
      <c r="G10" s="35">
        <f t="shared" si="10"/>
        <v>0</v>
      </c>
      <c r="H10" s="35">
        <f t="shared" si="10"/>
        <v>0</v>
      </c>
      <c r="I10" s="35">
        <f t="shared" si="10"/>
        <v>0</v>
      </c>
      <c r="J10" s="35">
        <f t="shared" si="10"/>
        <v>1515.1515151515152</v>
      </c>
      <c r="K10" s="35">
        <f t="shared" si="10"/>
        <v>1515.1515151515152</v>
      </c>
      <c r="L10" s="35">
        <f t="shared" si="10"/>
        <v>1515.1515151515152</v>
      </c>
      <c r="M10" s="35">
        <f t="shared" si="10"/>
        <v>1515.1515151515152</v>
      </c>
      <c r="N10" s="1143">
        <f>SUM(B10:M10)</f>
        <v>6060.606060606061</v>
      </c>
      <c r="O10" s="35">
        <f t="shared" ref="O10:Z10" si="11">IF(O8=0,0,IF(O30&lt;=$F$5+$D$5,0,$B$5/($E$5-$D$5)))</f>
        <v>1515.1515151515152</v>
      </c>
      <c r="P10" s="35">
        <f t="shared" si="11"/>
        <v>1515.1515151515152</v>
      </c>
      <c r="Q10" s="35">
        <f t="shared" si="11"/>
        <v>1515.1515151515152</v>
      </c>
      <c r="R10" s="35">
        <f t="shared" si="11"/>
        <v>1515.1515151515152</v>
      </c>
      <c r="S10" s="35">
        <f t="shared" si="11"/>
        <v>1515.1515151515152</v>
      </c>
      <c r="T10" s="35">
        <f t="shared" si="11"/>
        <v>1515.1515151515152</v>
      </c>
      <c r="U10" s="35">
        <f t="shared" si="11"/>
        <v>1515.1515151515152</v>
      </c>
      <c r="V10" s="35">
        <f t="shared" si="11"/>
        <v>1515.1515151515152</v>
      </c>
      <c r="W10" s="35">
        <f t="shared" si="11"/>
        <v>1515.1515151515152</v>
      </c>
      <c r="X10" s="35">
        <f t="shared" si="11"/>
        <v>1515.1515151515152</v>
      </c>
      <c r="Y10" s="35">
        <f t="shared" si="11"/>
        <v>1515.1515151515152</v>
      </c>
      <c r="Z10" s="35">
        <f t="shared" si="11"/>
        <v>1515.1515151515152</v>
      </c>
      <c r="AA10" s="1156">
        <f>SUM(O10:Z10)</f>
        <v>18181.818181818187</v>
      </c>
      <c r="AB10" s="34">
        <f>+N10</f>
        <v>6060.606060606061</v>
      </c>
      <c r="AC10" s="34">
        <f>+AA10</f>
        <v>18181.818181818187</v>
      </c>
      <c r="AD10" s="34">
        <f>+N18</f>
        <v>18181.818181818187</v>
      </c>
      <c r="AE10" s="34">
        <f>+AA18</f>
        <v>7575.757575757576</v>
      </c>
      <c r="AF10" s="34">
        <f>+N26</f>
        <v>0</v>
      </c>
      <c r="AG10" s="34">
        <f>+AA26</f>
        <v>0</v>
      </c>
      <c r="AH10" s="34">
        <f t="shared" si="9"/>
        <v>0</v>
      </c>
      <c r="AI10" s="34"/>
      <c r="AJ10" s="34"/>
      <c r="AK10" s="34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</row>
    <row r="11" spans="1:85" ht="18" customHeight="1" x14ac:dyDescent="0.2">
      <c r="A11" s="1142" t="s">
        <v>52</v>
      </c>
      <c r="B11" s="35">
        <f>+B9+B10</f>
        <v>0</v>
      </c>
      <c r="C11" s="35">
        <f>+C9+C10</f>
        <v>0</v>
      </c>
      <c r="D11" s="35">
        <f>+D9+D10</f>
        <v>0</v>
      </c>
      <c r="E11" s="35">
        <f>+E9+E10</f>
        <v>0</v>
      </c>
      <c r="F11" s="35">
        <f>+F9+F10</f>
        <v>0</v>
      </c>
      <c r="G11" s="35">
        <f t="shared" ref="G11:M11" si="12">+G9+G10</f>
        <v>500</v>
      </c>
      <c r="H11" s="35">
        <f t="shared" si="12"/>
        <v>500</v>
      </c>
      <c r="I11" s="35">
        <f t="shared" si="12"/>
        <v>500</v>
      </c>
      <c r="J11" s="35">
        <f t="shared" si="12"/>
        <v>2015.1515151515152</v>
      </c>
      <c r="K11" s="35">
        <f t="shared" si="12"/>
        <v>2000</v>
      </c>
      <c r="L11" s="35">
        <f t="shared" si="12"/>
        <v>1984.848484848485</v>
      </c>
      <c r="M11" s="35">
        <f t="shared" si="12"/>
        <v>1969.6969696969697</v>
      </c>
      <c r="N11" s="1143">
        <f>SUM(B11:M11)</f>
        <v>9469.69696969697</v>
      </c>
      <c r="O11" s="35">
        <f t="shared" ref="O11:Z11" si="13">+O9+O10</f>
        <v>1954.5454545454547</v>
      </c>
      <c r="P11" s="35">
        <f t="shared" si="13"/>
        <v>1939.3939393939397</v>
      </c>
      <c r="Q11" s="35">
        <f t="shared" si="13"/>
        <v>1924.2424242424245</v>
      </c>
      <c r="R11" s="35">
        <f t="shared" si="13"/>
        <v>1909.0909090909095</v>
      </c>
      <c r="S11" s="35">
        <f t="shared" si="13"/>
        <v>1893.9393939393942</v>
      </c>
      <c r="T11" s="35">
        <f t="shared" si="13"/>
        <v>1878.7878787878792</v>
      </c>
      <c r="U11" s="35">
        <f t="shared" si="13"/>
        <v>1863.636363636364</v>
      </c>
      <c r="V11" s="35">
        <f t="shared" si="13"/>
        <v>1848.484848484849</v>
      </c>
      <c r="W11" s="35">
        <f t="shared" si="13"/>
        <v>1833.3333333333337</v>
      </c>
      <c r="X11" s="35">
        <f t="shared" si="13"/>
        <v>1818.1818181818185</v>
      </c>
      <c r="Y11" s="35">
        <f t="shared" si="13"/>
        <v>1803.0303030303035</v>
      </c>
      <c r="Z11" s="35">
        <f t="shared" si="13"/>
        <v>1787.8787878787882</v>
      </c>
      <c r="AA11" s="1156">
        <f>SUM(O11:Z11)</f>
        <v>22454.54545454546</v>
      </c>
      <c r="AB11" s="34">
        <f>+N11</f>
        <v>9469.69696969697</v>
      </c>
      <c r="AC11" s="34">
        <f>+AA11</f>
        <v>22454.54545454546</v>
      </c>
      <c r="AD11" s="34">
        <f>+N19</f>
        <v>20272.727272727276</v>
      </c>
      <c r="AE11" s="34">
        <f>+AA19</f>
        <v>7803.0303030303039</v>
      </c>
      <c r="AF11" s="34">
        <f>+N27</f>
        <v>0</v>
      </c>
      <c r="AG11" s="34">
        <f>+AA27</f>
        <v>0</v>
      </c>
      <c r="AH11" s="34">
        <f t="shared" si="9"/>
        <v>0</v>
      </c>
      <c r="AI11" s="34"/>
      <c r="AJ11" s="34"/>
      <c r="AK11" s="34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9"/>
      <c r="CD11" s="39"/>
      <c r="CE11" s="39"/>
      <c r="CF11" s="39"/>
      <c r="CG11" s="39"/>
    </row>
    <row r="12" spans="1:85" ht="18" customHeight="1" x14ac:dyDescent="0.2">
      <c r="A12" s="1142" t="s">
        <v>45</v>
      </c>
      <c r="B12" s="35">
        <f t="shared" ref="B12:M12" si="14">IF(B8-B10&lt;=0.01,0,B8-B10)</f>
        <v>0</v>
      </c>
      <c r="C12" s="35">
        <f t="shared" si="14"/>
        <v>0</v>
      </c>
      <c r="D12" s="35">
        <f t="shared" si="14"/>
        <v>0</v>
      </c>
      <c r="E12" s="35">
        <f t="shared" si="14"/>
        <v>0</v>
      </c>
      <c r="F12" s="35">
        <f t="shared" si="14"/>
        <v>50000</v>
      </c>
      <c r="G12" s="35">
        <f t="shared" si="14"/>
        <v>50000</v>
      </c>
      <c r="H12" s="35">
        <f t="shared" si="14"/>
        <v>50000</v>
      </c>
      <c r="I12" s="35">
        <f t="shared" si="14"/>
        <v>50000</v>
      </c>
      <c r="J12" s="35">
        <f t="shared" si="14"/>
        <v>48484.848484848488</v>
      </c>
      <c r="K12" s="35">
        <f t="shared" si="14"/>
        <v>46969.696969696975</v>
      </c>
      <c r="L12" s="35">
        <f t="shared" si="14"/>
        <v>45454.545454545463</v>
      </c>
      <c r="M12" s="35">
        <f t="shared" si="14"/>
        <v>43939.393939393951</v>
      </c>
      <c r="N12" s="1143">
        <f>+M12</f>
        <v>43939.393939393951</v>
      </c>
      <c r="O12" s="35">
        <f t="shared" ref="O12:Z12" si="15">IF(O8-O10&lt;=0.01,0,O8-O10)</f>
        <v>42424.242424242439</v>
      </c>
      <c r="P12" s="35">
        <f t="shared" si="15"/>
        <v>40909.090909090926</v>
      </c>
      <c r="Q12" s="35">
        <f t="shared" si="15"/>
        <v>39393.939393939414</v>
      </c>
      <c r="R12" s="35">
        <f t="shared" si="15"/>
        <v>37878.787878787902</v>
      </c>
      <c r="S12" s="35">
        <f t="shared" si="15"/>
        <v>36363.636363636389</v>
      </c>
      <c r="T12" s="35">
        <f t="shared" si="15"/>
        <v>34848.484848484877</v>
      </c>
      <c r="U12" s="35">
        <f t="shared" si="15"/>
        <v>33333.333333333365</v>
      </c>
      <c r="V12" s="35">
        <f t="shared" si="15"/>
        <v>31818.181818181849</v>
      </c>
      <c r="W12" s="35">
        <f t="shared" si="15"/>
        <v>30303.030303030333</v>
      </c>
      <c r="X12" s="35">
        <f t="shared" si="15"/>
        <v>28787.878787878817</v>
      </c>
      <c r="Y12" s="35">
        <f t="shared" si="15"/>
        <v>27272.727272727301</v>
      </c>
      <c r="Z12" s="35">
        <f t="shared" si="15"/>
        <v>25757.575757575785</v>
      </c>
      <c r="AA12" s="1156">
        <f>+Z12</f>
        <v>25757.575757575785</v>
      </c>
      <c r="AB12" s="34">
        <f>+N12</f>
        <v>43939.393939393951</v>
      </c>
      <c r="AC12" s="34">
        <f>+AA12</f>
        <v>25757.575757575785</v>
      </c>
      <c r="AD12" s="34">
        <f>+N20</f>
        <v>7575.7575757575951</v>
      </c>
      <c r="AE12" s="34">
        <f>+AA20</f>
        <v>0</v>
      </c>
      <c r="AF12" s="34">
        <f>+N28</f>
        <v>0</v>
      </c>
      <c r="AG12" s="34">
        <f>+AA28</f>
        <v>0</v>
      </c>
      <c r="AH12" s="34">
        <f t="shared" si="9"/>
        <v>0</v>
      </c>
      <c r="AI12" s="34"/>
      <c r="AJ12" s="34"/>
      <c r="AK12" s="34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39"/>
      <c r="AX12" s="39"/>
      <c r="AY12" s="39"/>
      <c r="AZ12" s="39"/>
      <c r="BA12" s="39"/>
      <c r="BB12" s="39"/>
      <c r="BC12" s="39"/>
      <c r="BD12" s="39"/>
      <c r="BE12" s="39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39"/>
      <c r="CA12" s="39"/>
      <c r="CB12" s="39"/>
      <c r="CC12" s="39"/>
      <c r="CD12" s="39"/>
      <c r="CE12" s="39"/>
      <c r="CF12" s="39"/>
      <c r="CG12" s="39"/>
    </row>
    <row r="13" spans="1:85" ht="18" customHeight="1" x14ac:dyDescent="0.2">
      <c r="A13" s="33"/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9"/>
      <c r="AM13" s="39"/>
      <c r="AN13" s="39"/>
      <c r="AO13" s="39"/>
      <c r="AP13" s="39"/>
      <c r="AQ13" s="39"/>
      <c r="AR13" s="39"/>
      <c r="AS13" s="39"/>
      <c r="AT13" s="39"/>
      <c r="AU13" s="39"/>
      <c r="AV13" s="39"/>
      <c r="AW13" s="39"/>
      <c r="AX13" s="39"/>
      <c r="AY13" s="39"/>
      <c r="AZ13" s="39"/>
      <c r="BA13" s="39"/>
      <c r="BB13" s="39"/>
      <c r="BC13" s="39"/>
      <c r="BD13" s="39"/>
      <c r="BE13" s="39"/>
      <c r="BF13" s="39"/>
      <c r="BG13" s="39"/>
      <c r="BH13" s="39"/>
      <c r="BI13" s="39"/>
      <c r="BJ13" s="39"/>
      <c r="BK13" s="39"/>
      <c r="BL13" s="39"/>
      <c r="BM13" s="39"/>
      <c r="BN13" s="39"/>
      <c r="BO13" s="39"/>
      <c r="BP13" s="39"/>
      <c r="BQ13" s="39"/>
      <c r="BR13" s="39"/>
      <c r="BS13" s="39"/>
      <c r="BT13" s="39"/>
      <c r="BU13" s="39"/>
      <c r="BV13" s="39"/>
      <c r="BW13" s="39"/>
      <c r="BX13" s="39"/>
      <c r="BY13" s="39"/>
      <c r="BZ13" s="39"/>
      <c r="CA13" s="39"/>
      <c r="CB13" s="39"/>
      <c r="CC13" s="39"/>
      <c r="CD13" s="39"/>
      <c r="CE13" s="39"/>
      <c r="CF13" s="39"/>
      <c r="CG13" s="39"/>
    </row>
    <row r="14" spans="1:85" ht="18" customHeight="1" x14ac:dyDescent="0.2">
      <c r="A14" s="1968"/>
      <c r="B14" s="1962">
        <f>+O6+1</f>
        <v>2019</v>
      </c>
      <c r="C14" s="1962"/>
      <c r="D14" s="1962"/>
      <c r="E14" s="1962"/>
      <c r="F14" s="1962"/>
      <c r="G14" s="1962"/>
      <c r="H14" s="1962"/>
      <c r="I14" s="1962"/>
      <c r="J14" s="1962"/>
      <c r="K14" s="1962"/>
      <c r="L14" s="1962"/>
      <c r="M14" s="1962"/>
      <c r="N14" s="1963" t="s">
        <v>151</v>
      </c>
      <c r="O14" s="1962">
        <f>+B14+1</f>
        <v>2020</v>
      </c>
      <c r="P14" s="1962"/>
      <c r="Q14" s="1962"/>
      <c r="R14" s="1962"/>
      <c r="S14" s="1962"/>
      <c r="T14" s="1962"/>
      <c r="U14" s="1962"/>
      <c r="V14" s="1962"/>
      <c r="W14" s="1962"/>
      <c r="X14" s="1962"/>
      <c r="Y14" s="1962"/>
      <c r="Z14" s="1962"/>
      <c r="AA14" s="1963" t="s">
        <v>152</v>
      </c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9"/>
      <c r="AM14" s="39"/>
      <c r="AN14" s="39"/>
      <c r="AO14" s="39"/>
      <c r="AP14" s="39"/>
      <c r="AQ14" s="39"/>
      <c r="AR14" s="39"/>
      <c r="AS14" s="39"/>
      <c r="AT14" s="39"/>
      <c r="AU14" s="39"/>
      <c r="AV14" s="39"/>
      <c r="AW14" s="39"/>
      <c r="AX14" s="39"/>
      <c r="AY14" s="39"/>
      <c r="AZ14" s="39"/>
      <c r="BA14" s="39"/>
      <c r="BB14" s="39"/>
      <c r="BC14" s="39"/>
      <c r="BD14" s="39"/>
      <c r="BE14" s="39"/>
      <c r="BF14" s="39"/>
      <c r="BG14" s="39"/>
      <c r="BH14" s="39"/>
      <c r="BI14" s="39"/>
      <c r="BJ14" s="39"/>
      <c r="BK14" s="39"/>
      <c r="BL14" s="39"/>
      <c r="BM14" s="39"/>
      <c r="BN14" s="39"/>
      <c r="BO14" s="39"/>
      <c r="BP14" s="39"/>
      <c r="BQ14" s="39"/>
      <c r="BR14" s="39"/>
      <c r="BS14" s="39"/>
      <c r="BT14" s="39"/>
      <c r="BU14" s="39"/>
      <c r="BV14" s="39"/>
      <c r="BW14" s="39"/>
      <c r="BX14" s="39"/>
      <c r="BY14" s="39"/>
      <c r="BZ14" s="39"/>
      <c r="CA14" s="39"/>
      <c r="CB14" s="39"/>
      <c r="CC14" s="39"/>
      <c r="CD14" s="39"/>
      <c r="CE14" s="39"/>
      <c r="CF14" s="39"/>
      <c r="CG14" s="39"/>
    </row>
    <row r="15" spans="1:85" ht="18" customHeight="1" x14ac:dyDescent="0.2">
      <c r="A15" s="1968"/>
      <c r="B15" s="1141" t="str">
        <f t="shared" ref="B15:M15" si="16">+B7</f>
        <v>Ene</v>
      </c>
      <c r="C15" s="1141" t="str">
        <f t="shared" si="16"/>
        <v>Feb</v>
      </c>
      <c r="D15" s="1141" t="str">
        <f t="shared" si="16"/>
        <v>Mar</v>
      </c>
      <c r="E15" s="1141" t="str">
        <f t="shared" si="16"/>
        <v>Abr</v>
      </c>
      <c r="F15" s="1141" t="str">
        <f t="shared" si="16"/>
        <v>May</v>
      </c>
      <c r="G15" s="1141" t="str">
        <f t="shared" si="16"/>
        <v>Jun</v>
      </c>
      <c r="H15" s="1141" t="str">
        <f t="shared" si="16"/>
        <v>Jul</v>
      </c>
      <c r="I15" s="1141" t="str">
        <f t="shared" si="16"/>
        <v>Ago</v>
      </c>
      <c r="J15" s="1141" t="str">
        <f t="shared" si="16"/>
        <v>Sep</v>
      </c>
      <c r="K15" s="1141" t="str">
        <f t="shared" si="16"/>
        <v>Oct</v>
      </c>
      <c r="L15" s="1141" t="str">
        <f t="shared" si="16"/>
        <v>Nov</v>
      </c>
      <c r="M15" s="1141" t="str">
        <f t="shared" si="16"/>
        <v>Dic</v>
      </c>
      <c r="N15" s="1963"/>
      <c r="O15" s="1141" t="str">
        <f t="shared" ref="O15:Z15" si="17">+O7</f>
        <v>Ene</v>
      </c>
      <c r="P15" s="1141" t="str">
        <f t="shared" si="17"/>
        <v>Feb</v>
      </c>
      <c r="Q15" s="1141" t="str">
        <f t="shared" si="17"/>
        <v>Mar</v>
      </c>
      <c r="R15" s="1141" t="str">
        <f t="shared" si="17"/>
        <v>Abr</v>
      </c>
      <c r="S15" s="1141" t="str">
        <f t="shared" si="17"/>
        <v>May</v>
      </c>
      <c r="T15" s="1141" t="str">
        <f t="shared" si="17"/>
        <v>Jun</v>
      </c>
      <c r="U15" s="1141" t="str">
        <f t="shared" si="17"/>
        <v>Jul</v>
      </c>
      <c r="V15" s="1141" t="str">
        <f t="shared" si="17"/>
        <v>Ago</v>
      </c>
      <c r="W15" s="1141" t="str">
        <f t="shared" si="17"/>
        <v>Sep</v>
      </c>
      <c r="X15" s="1141" t="str">
        <f t="shared" si="17"/>
        <v>Oct</v>
      </c>
      <c r="Y15" s="1141" t="str">
        <f t="shared" si="17"/>
        <v>Nov</v>
      </c>
      <c r="Z15" s="1141" t="str">
        <f t="shared" si="17"/>
        <v>Dic</v>
      </c>
      <c r="AA15" s="196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39"/>
      <c r="AZ15" s="39"/>
      <c r="BA15" s="39"/>
      <c r="BB15" s="39"/>
      <c r="BC15" s="39"/>
      <c r="BD15" s="39"/>
      <c r="BE15" s="39"/>
      <c r="BF15" s="39"/>
      <c r="BG15" s="39"/>
      <c r="BH15" s="39"/>
      <c r="BI15" s="39"/>
      <c r="BJ15" s="39"/>
      <c r="BK15" s="39"/>
      <c r="BL15" s="39"/>
      <c r="BM15" s="39"/>
      <c r="BN15" s="39"/>
      <c r="BO15" s="39"/>
      <c r="BP15" s="39"/>
      <c r="BQ15" s="39"/>
      <c r="BR15" s="39"/>
      <c r="BS15" s="39"/>
      <c r="BT15" s="39"/>
      <c r="BU15" s="39"/>
      <c r="BV15" s="39"/>
      <c r="BW15" s="39"/>
      <c r="BX15" s="39"/>
      <c r="BY15" s="39"/>
      <c r="BZ15" s="39"/>
      <c r="CA15" s="39"/>
      <c r="CB15" s="39"/>
      <c r="CC15" s="39"/>
      <c r="CD15" s="39"/>
      <c r="CE15" s="39"/>
      <c r="CF15" s="39"/>
      <c r="CG15" s="39"/>
    </row>
    <row r="16" spans="1:85" ht="18" customHeight="1" x14ac:dyDescent="0.2">
      <c r="A16" s="1142" t="s">
        <v>43</v>
      </c>
      <c r="B16" s="35">
        <f>IF(B34=0,0,IF(B34=1,$B$5,Z12))</f>
        <v>25757.575757575785</v>
      </c>
      <c r="C16" s="35">
        <f t="shared" ref="C16:M16" si="18">IF(C34=0,0,IF(C34=1,$B$5,B20))</f>
        <v>24242.424242424269</v>
      </c>
      <c r="D16" s="35">
        <f t="shared" si="18"/>
        <v>22727.272727272753</v>
      </c>
      <c r="E16" s="35">
        <f t="shared" si="18"/>
        <v>21212.121212121237</v>
      </c>
      <c r="F16" s="35">
        <f t="shared" si="18"/>
        <v>19696.969696969722</v>
      </c>
      <c r="G16" s="35">
        <f t="shared" si="18"/>
        <v>18181.818181818206</v>
      </c>
      <c r="H16" s="35">
        <f t="shared" si="18"/>
        <v>16666.66666666669</v>
      </c>
      <c r="I16" s="35">
        <f t="shared" si="18"/>
        <v>15151.515151515174</v>
      </c>
      <c r="J16" s="35">
        <f t="shared" si="18"/>
        <v>13636.363636363658</v>
      </c>
      <c r="K16" s="35">
        <f t="shared" si="18"/>
        <v>12121.212121212142</v>
      </c>
      <c r="L16" s="35">
        <f t="shared" si="18"/>
        <v>10606.060606060626</v>
      </c>
      <c r="M16" s="35">
        <f t="shared" si="18"/>
        <v>9090.9090909091101</v>
      </c>
      <c r="N16" s="1143">
        <f>+B16</f>
        <v>25757.575757575785</v>
      </c>
      <c r="O16" s="35">
        <f>IF(O34=0,0,IF(O34=1,$B$5,M20))</f>
        <v>7575.7575757575951</v>
      </c>
      <c r="P16" s="35">
        <f t="shared" ref="P16:Z16" si="19">IF(P34=0,0,IF(P34=1,$B$5,O20))</f>
        <v>6060.6060606060801</v>
      </c>
      <c r="Q16" s="35">
        <f t="shared" si="19"/>
        <v>4545.4545454545651</v>
      </c>
      <c r="R16" s="35">
        <f t="shared" si="19"/>
        <v>3030.30303030305</v>
      </c>
      <c r="S16" s="35">
        <f t="shared" si="19"/>
        <v>1515.1515151515348</v>
      </c>
      <c r="T16" s="35">
        <f t="shared" si="19"/>
        <v>0</v>
      </c>
      <c r="U16" s="35">
        <f t="shared" si="19"/>
        <v>0</v>
      </c>
      <c r="V16" s="35">
        <f t="shared" si="19"/>
        <v>0</v>
      </c>
      <c r="W16" s="35">
        <f t="shared" si="19"/>
        <v>0</v>
      </c>
      <c r="X16" s="35">
        <f t="shared" si="19"/>
        <v>0</v>
      </c>
      <c r="Y16" s="35">
        <f t="shared" si="19"/>
        <v>0</v>
      </c>
      <c r="Z16" s="35">
        <f t="shared" si="19"/>
        <v>0</v>
      </c>
      <c r="AA16" s="1143">
        <f>+O16</f>
        <v>7575.7575757575951</v>
      </c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9"/>
      <c r="AM16" s="39"/>
      <c r="AN16" s="39"/>
      <c r="AO16" s="39"/>
      <c r="AP16" s="39"/>
      <c r="AQ16" s="39"/>
      <c r="AR16" s="39"/>
      <c r="AS16" s="39"/>
      <c r="AT16" s="39"/>
      <c r="AU16" s="39"/>
      <c r="AV16" s="39"/>
      <c r="AW16" s="39"/>
      <c r="AX16" s="39"/>
      <c r="AY16" s="39"/>
      <c r="AZ16" s="39"/>
      <c r="BA16" s="39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9"/>
      <c r="BT16" s="39"/>
      <c r="BU16" s="39"/>
      <c r="BV16" s="39"/>
      <c r="BW16" s="39"/>
      <c r="BX16" s="39"/>
      <c r="BY16" s="39"/>
      <c r="BZ16" s="39"/>
      <c r="CA16" s="39"/>
      <c r="CB16" s="39"/>
      <c r="CC16" s="39"/>
      <c r="CD16" s="39"/>
      <c r="CE16" s="39"/>
      <c r="CF16" s="39"/>
      <c r="CG16" s="39"/>
    </row>
    <row r="17" spans="1:85" ht="18" customHeight="1" x14ac:dyDescent="0.2">
      <c r="A17" s="1142" t="s">
        <v>267</v>
      </c>
      <c r="B17" s="35">
        <f>IF(Z31=0,0,(B16*$C$5/12))</f>
        <v>257.57575757575785</v>
      </c>
      <c r="C17" s="35">
        <f t="shared" ref="C17:M17" si="20">IF(B34=0,0,(C16*$C$5/12))</f>
        <v>242.42424242424269</v>
      </c>
      <c r="D17" s="35">
        <f t="shared" si="20"/>
        <v>227.27272727272751</v>
      </c>
      <c r="E17" s="35">
        <f t="shared" si="20"/>
        <v>212.12121212121235</v>
      </c>
      <c r="F17" s="35">
        <f t="shared" si="20"/>
        <v>196.96969696969722</v>
      </c>
      <c r="G17" s="35">
        <f t="shared" si="20"/>
        <v>181.81818181818207</v>
      </c>
      <c r="H17" s="35">
        <f t="shared" si="20"/>
        <v>166.66666666666688</v>
      </c>
      <c r="I17" s="35">
        <f t="shared" si="20"/>
        <v>151.51515151515173</v>
      </c>
      <c r="J17" s="35">
        <f t="shared" si="20"/>
        <v>136.36363636363657</v>
      </c>
      <c r="K17" s="35">
        <f t="shared" si="20"/>
        <v>121.21212121212142</v>
      </c>
      <c r="L17" s="35">
        <f t="shared" si="20"/>
        <v>106.06060606060625</v>
      </c>
      <c r="M17" s="35">
        <f t="shared" si="20"/>
        <v>90.909090909091105</v>
      </c>
      <c r="N17" s="1143">
        <f>SUM(B17:M17)</f>
        <v>2090.9090909090937</v>
      </c>
      <c r="O17" s="35">
        <f>IF(M34=0,0,(O16*$C$5/12))</f>
        <v>75.75757575757595</v>
      </c>
      <c r="P17" s="35">
        <f t="shared" ref="P17:Z17" si="21">IF(O34=0,0,(P16*$C$5/12))</f>
        <v>60.606060606060794</v>
      </c>
      <c r="Q17" s="35">
        <f t="shared" si="21"/>
        <v>45.454545454545645</v>
      </c>
      <c r="R17" s="35">
        <f t="shared" si="21"/>
        <v>30.3030303030305</v>
      </c>
      <c r="S17" s="35">
        <f t="shared" si="21"/>
        <v>15.151515151515348</v>
      </c>
      <c r="T17" s="35">
        <f t="shared" si="21"/>
        <v>0</v>
      </c>
      <c r="U17" s="35">
        <f t="shared" si="21"/>
        <v>0</v>
      </c>
      <c r="V17" s="35">
        <f t="shared" si="21"/>
        <v>0</v>
      </c>
      <c r="W17" s="35">
        <f t="shared" si="21"/>
        <v>0</v>
      </c>
      <c r="X17" s="35">
        <f t="shared" si="21"/>
        <v>0</v>
      </c>
      <c r="Y17" s="35">
        <f t="shared" si="21"/>
        <v>0</v>
      </c>
      <c r="Z17" s="35">
        <f t="shared" si="21"/>
        <v>0</v>
      </c>
      <c r="AA17" s="1143">
        <f>SUM(O17:Z17)</f>
        <v>227.27272727272825</v>
      </c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39"/>
      <c r="BL17" s="39"/>
      <c r="BM17" s="39"/>
      <c r="BN17" s="39"/>
      <c r="BO17" s="39"/>
      <c r="BP17" s="39"/>
      <c r="BQ17" s="39"/>
      <c r="BR17" s="39"/>
      <c r="BS17" s="39"/>
      <c r="BT17" s="39"/>
      <c r="BU17" s="39"/>
      <c r="BV17" s="39"/>
      <c r="BW17" s="39"/>
      <c r="BX17" s="39"/>
      <c r="BY17" s="39"/>
      <c r="BZ17" s="39"/>
      <c r="CA17" s="39"/>
      <c r="CB17" s="39"/>
      <c r="CC17" s="39"/>
      <c r="CD17" s="39"/>
      <c r="CE17" s="39"/>
      <c r="CF17" s="39"/>
      <c r="CG17" s="39"/>
    </row>
    <row r="18" spans="1:85" ht="18" customHeight="1" x14ac:dyDescent="0.2">
      <c r="A18" s="1142" t="str">
        <f>+A10</f>
        <v>Amortización</v>
      </c>
      <c r="B18" s="35">
        <f t="shared" ref="B18:M18" si="22">IF(B16=0,0,IF(B33&lt;=$F$5+$D$5,0,$B$5/($E$5-$D$5)))</f>
        <v>1515.1515151515152</v>
      </c>
      <c r="C18" s="35">
        <f t="shared" si="22"/>
        <v>1515.1515151515152</v>
      </c>
      <c r="D18" s="35">
        <f t="shared" si="22"/>
        <v>1515.1515151515152</v>
      </c>
      <c r="E18" s="35">
        <f t="shared" si="22"/>
        <v>1515.1515151515152</v>
      </c>
      <c r="F18" s="35">
        <f t="shared" si="22"/>
        <v>1515.1515151515152</v>
      </c>
      <c r="G18" s="35">
        <f t="shared" si="22"/>
        <v>1515.1515151515152</v>
      </c>
      <c r="H18" s="35">
        <f t="shared" si="22"/>
        <v>1515.1515151515152</v>
      </c>
      <c r="I18" s="35">
        <f t="shared" si="22"/>
        <v>1515.1515151515152</v>
      </c>
      <c r="J18" s="35">
        <f t="shared" si="22"/>
        <v>1515.1515151515152</v>
      </c>
      <c r="K18" s="35">
        <f t="shared" si="22"/>
        <v>1515.1515151515152</v>
      </c>
      <c r="L18" s="35">
        <f t="shared" si="22"/>
        <v>1515.1515151515152</v>
      </c>
      <c r="M18" s="35">
        <f t="shared" si="22"/>
        <v>1515.1515151515152</v>
      </c>
      <c r="N18" s="1143">
        <f>SUM(B18:M18)</f>
        <v>18181.818181818187</v>
      </c>
      <c r="O18" s="35">
        <f t="shared" ref="O18:Z18" si="23">IF(O16=0,0,IF(O33&lt;=$F$5+$D$5,0,$B$5/($E$5-$D$5)))</f>
        <v>1515.1515151515152</v>
      </c>
      <c r="P18" s="35">
        <f t="shared" si="23"/>
        <v>1515.1515151515152</v>
      </c>
      <c r="Q18" s="35">
        <f t="shared" si="23"/>
        <v>1515.1515151515152</v>
      </c>
      <c r="R18" s="35">
        <f t="shared" si="23"/>
        <v>1515.1515151515152</v>
      </c>
      <c r="S18" s="35">
        <f t="shared" si="23"/>
        <v>1515.1515151515152</v>
      </c>
      <c r="T18" s="35">
        <f t="shared" si="23"/>
        <v>0</v>
      </c>
      <c r="U18" s="35">
        <f t="shared" si="23"/>
        <v>0</v>
      </c>
      <c r="V18" s="35">
        <f t="shared" si="23"/>
        <v>0</v>
      </c>
      <c r="W18" s="35">
        <f t="shared" si="23"/>
        <v>0</v>
      </c>
      <c r="X18" s="35">
        <f t="shared" si="23"/>
        <v>0</v>
      </c>
      <c r="Y18" s="35">
        <f t="shared" si="23"/>
        <v>0</v>
      </c>
      <c r="Z18" s="35">
        <f t="shared" si="23"/>
        <v>0</v>
      </c>
      <c r="AA18" s="1143">
        <f>SUM(O18:Z18)</f>
        <v>7575.757575757576</v>
      </c>
      <c r="AB18" s="33"/>
      <c r="AC18" s="33"/>
      <c r="AD18" s="33"/>
      <c r="AE18" s="33"/>
      <c r="AF18" s="33"/>
      <c r="AG18" s="33"/>
      <c r="AH18" s="33"/>
      <c r="AI18" s="33"/>
      <c r="AJ18" s="33"/>
      <c r="AK18" s="33"/>
      <c r="AL18" s="39"/>
      <c r="AM18" s="39"/>
      <c r="AN18" s="39"/>
      <c r="AO18" s="39"/>
      <c r="AP18" s="39"/>
      <c r="AQ18" s="39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</row>
    <row r="19" spans="1:85" ht="18" customHeight="1" x14ac:dyDescent="0.2">
      <c r="A19" s="1142" t="s">
        <v>52</v>
      </c>
      <c r="B19" s="35">
        <f t="shared" ref="B19:M19" si="24">+B17+B18</f>
        <v>1772.727272727273</v>
      </c>
      <c r="C19" s="35">
        <f t="shared" si="24"/>
        <v>1757.575757575758</v>
      </c>
      <c r="D19" s="35">
        <f t="shared" si="24"/>
        <v>1742.4242424242427</v>
      </c>
      <c r="E19" s="35">
        <f t="shared" si="24"/>
        <v>1727.2727272727275</v>
      </c>
      <c r="F19" s="35">
        <f t="shared" si="24"/>
        <v>1712.1212121212125</v>
      </c>
      <c r="G19" s="35">
        <f t="shared" si="24"/>
        <v>1696.9696969696972</v>
      </c>
      <c r="H19" s="35">
        <f t="shared" si="24"/>
        <v>1681.8181818181822</v>
      </c>
      <c r="I19" s="35">
        <f t="shared" si="24"/>
        <v>1666.666666666667</v>
      </c>
      <c r="J19" s="35">
        <f t="shared" si="24"/>
        <v>1651.5151515151517</v>
      </c>
      <c r="K19" s="35">
        <f t="shared" si="24"/>
        <v>1636.3636363636367</v>
      </c>
      <c r="L19" s="35">
        <f t="shared" si="24"/>
        <v>1621.2121212121215</v>
      </c>
      <c r="M19" s="35">
        <f t="shared" si="24"/>
        <v>1606.0606060606065</v>
      </c>
      <c r="N19" s="1143">
        <f>SUM(B19:M19)</f>
        <v>20272.727272727276</v>
      </c>
      <c r="O19" s="35">
        <f t="shared" ref="O19:Z19" si="25">+O17+O18</f>
        <v>1590.9090909090912</v>
      </c>
      <c r="P19" s="35">
        <f t="shared" si="25"/>
        <v>1575.757575757576</v>
      </c>
      <c r="Q19" s="35">
        <f t="shared" si="25"/>
        <v>1560.606060606061</v>
      </c>
      <c r="R19" s="35">
        <f t="shared" si="25"/>
        <v>1545.4545454545457</v>
      </c>
      <c r="S19" s="35">
        <f t="shared" si="25"/>
        <v>1530.3030303030305</v>
      </c>
      <c r="T19" s="35">
        <f t="shared" si="25"/>
        <v>0</v>
      </c>
      <c r="U19" s="35">
        <f t="shared" si="25"/>
        <v>0</v>
      </c>
      <c r="V19" s="35">
        <f t="shared" si="25"/>
        <v>0</v>
      </c>
      <c r="W19" s="35">
        <f t="shared" si="25"/>
        <v>0</v>
      </c>
      <c r="X19" s="35">
        <f t="shared" si="25"/>
        <v>0</v>
      </c>
      <c r="Y19" s="35">
        <f t="shared" si="25"/>
        <v>0</v>
      </c>
      <c r="Z19" s="35">
        <f t="shared" si="25"/>
        <v>0</v>
      </c>
      <c r="AA19" s="1143">
        <f>SUM(O19:Z19)</f>
        <v>7803.0303030303039</v>
      </c>
      <c r="AB19" s="33"/>
      <c r="AC19" s="33"/>
      <c r="AD19" s="33"/>
      <c r="AE19" s="33"/>
      <c r="AF19" s="33"/>
      <c r="AG19" s="33"/>
      <c r="AH19" s="33"/>
      <c r="AI19" s="33"/>
      <c r="AJ19" s="33"/>
      <c r="AK19" s="33"/>
      <c r="AL19" s="39"/>
      <c r="AM19" s="39"/>
      <c r="AN19" s="39"/>
      <c r="AO19" s="39"/>
      <c r="AP19" s="39"/>
      <c r="AQ19" s="39"/>
      <c r="AR19" s="39"/>
      <c r="AS19" s="39"/>
      <c r="AT19" s="39"/>
      <c r="AU19" s="39"/>
      <c r="AV19" s="39"/>
      <c r="AW19" s="39"/>
      <c r="AX19" s="39"/>
      <c r="AY19" s="39"/>
      <c r="AZ19" s="39"/>
      <c r="BA19" s="39"/>
      <c r="BB19" s="39"/>
      <c r="BC19" s="39"/>
      <c r="BD19" s="39"/>
      <c r="BE19" s="39"/>
      <c r="BF19" s="39"/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39"/>
      <c r="BR19" s="39"/>
      <c r="BS19" s="39"/>
      <c r="BT19" s="39"/>
      <c r="BU19" s="39"/>
      <c r="BV19" s="39"/>
      <c r="BW19" s="39"/>
      <c r="BX19" s="39"/>
      <c r="BY19" s="39"/>
      <c r="BZ19" s="39"/>
      <c r="CA19" s="39"/>
      <c r="CB19" s="39"/>
      <c r="CC19" s="39"/>
      <c r="CD19" s="39"/>
      <c r="CE19" s="39"/>
      <c r="CF19" s="39"/>
      <c r="CG19" s="39"/>
    </row>
    <row r="20" spans="1:85" ht="18" customHeight="1" x14ac:dyDescent="0.2">
      <c r="A20" s="1142" t="s">
        <v>45</v>
      </c>
      <c r="B20" s="35">
        <f t="shared" ref="B20:M20" si="26">IF(B16-B18&lt;=0.01,0,B16-B18)</f>
        <v>24242.424242424269</v>
      </c>
      <c r="C20" s="35">
        <f t="shared" si="26"/>
        <v>22727.272727272753</v>
      </c>
      <c r="D20" s="35">
        <f t="shared" si="26"/>
        <v>21212.121212121237</v>
      </c>
      <c r="E20" s="35">
        <f t="shared" si="26"/>
        <v>19696.969696969722</v>
      </c>
      <c r="F20" s="35">
        <f t="shared" si="26"/>
        <v>18181.818181818206</v>
      </c>
      <c r="G20" s="35">
        <f t="shared" si="26"/>
        <v>16666.66666666669</v>
      </c>
      <c r="H20" s="35">
        <f t="shared" si="26"/>
        <v>15151.515151515174</v>
      </c>
      <c r="I20" s="35">
        <f t="shared" si="26"/>
        <v>13636.363636363658</v>
      </c>
      <c r="J20" s="35">
        <f t="shared" si="26"/>
        <v>12121.212121212142</v>
      </c>
      <c r="K20" s="35">
        <f t="shared" si="26"/>
        <v>10606.060606060626</v>
      </c>
      <c r="L20" s="35">
        <f t="shared" si="26"/>
        <v>9090.9090909091101</v>
      </c>
      <c r="M20" s="35">
        <f t="shared" si="26"/>
        <v>7575.7575757575951</v>
      </c>
      <c r="N20" s="1143">
        <f>+M20</f>
        <v>7575.7575757575951</v>
      </c>
      <c r="O20" s="35">
        <f t="shared" ref="O20:Z20" si="27">IF(O16-O18&lt;=0.01,0,O16-O18)</f>
        <v>6060.6060606060801</v>
      </c>
      <c r="P20" s="35">
        <f t="shared" si="27"/>
        <v>4545.4545454545651</v>
      </c>
      <c r="Q20" s="35">
        <f t="shared" si="27"/>
        <v>3030.30303030305</v>
      </c>
      <c r="R20" s="35">
        <f t="shared" si="27"/>
        <v>1515.1515151515348</v>
      </c>
      <c r="S20" s="35">
        <f t="shared" si="27"/>
        <v>0</v>
      </c>
      <c r="T20" s="35">
        <f t="shared" si="27"/>
        <v>0</v>
      </c>
      <c r="U20" s="35">
        <f t="shared" si="27"/>
        <v>0</v>
      </c>
      <c r="V20" s="35">
        <f t="shared" si="27"/>
        <v>0</v>
      </c>
      <c r="W20" s="35">
        <f t="shared" si="27"/>
        <v>0</v>
      </c>
      <c r="X20" s="35">
        <f t="shared" si="27"/>
        <v>0</v>
      </c>
      <c r="Y20" s="35">
        <f t="shared" si="27"/>
        <v>0</v>
      </c>
      <c r="Z20" s="35">
        <f t="shared" si="27"/>
        <v>0</v>
      </c>
      <c r="AA20" s="1143">
        <f>+Z20</f>
        <v>0</v>
      </c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9"/>
      <c r="AM20" s="39"/>
      <c r="AN20" s="39"/>
      <c r="AO20" s="39"/>
      <c r="AP20" s="39"/>
      <c r="AQ20" s="39"/>
      <c r="AR20" s="39"/>
      <c r="AS20" s="39"/>
      <c r="AT20" s="39"/>
      <c r="AU20" s="39"/>
      <c r="AV20" s="39"/>
      <c r="AW20" s="39"/>
      <c r="AX20" s="39"/>
      <c r="AY20" s="39"/>
      <c r="AZ20" s="39"/>
      <c r="BA20" s="39"/>
      <c r="BB20" s="39"/>
      <c r="BC20" s="39"/>
      <c r="BD20" s="39"/>
      <c r="BE20" s="39"/>
      <c r="BF20" s="39"/>
      <c r="BG20" s="39"/>
      <c r="BH20" s="39"/>
      <c r="BI20" s="39"/>
      <c r="BJ20" s="39"/>
      <c r="BK20" s="39"/>
      <c r="BL20" s="39"/>
      <c r="BM20" s="39"/>
      <c r="BN20" s="39"/>
      <c r="BO20" s="39"/>
      <c r="BP20" s="39"/>
      <c r="BQ20" s="39"/>
      <c r="BR20" s="39"/>
      <c r="BS20" s="39"/>
      <c r="BT20" s="39"/>
      <c r="BU20" s="39"/>
      <c r="BV20" s="39"/>
      <c r="BW20" s="39"/>
      <c r="BX20" s="39"/>
      <c r="BY20" s="39"/>
      <c r="BZ20" s="39"/>
      <c r="CA20" s="39"/>
      <c r="CB20" s="39"/>
      <c r="CC20" s="39"/>
      <c r="CD20" s="39"/>
      <c r="CE20" s="39"/>
      <c r="CF20" s="39"/>
      <c r="CG20" s="39"/>
    </row>
    <row r="21" spans="1:85" ht="18" customHeight="1" x14ac:dyDescent="0.2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9"/>
      <c r="AM21" s="39"/>
      <c r="AN21" s="39"/>
      <c r="AO21" s="39"/>
      <c r="AP21" s="39"/>
      <c r="AQ21" s="39"/>
      <c r="AR21" s="39"/>
      <c r="AS21" s="39"/>
      <c r="AT21" s="39"/>
      <c r="AU21" s="39"/>
      <c r="AV21" s="39"/>
      <c r="AW21" s="39"/>
      <c r="AX21" s="39"/>
      <c r="AY21" s="39"/>
      <c r="AZ21" s="39"/>
      <c r="BA21" s="39"/>
      <c r="BB21" s="39"/>
      <c r="BC21" s="39"/>
      <c r="BD21" s="39"/>
      <c r="BE21" s="39"/>
      <c r="BF21" s="39"/>
      <c r="BG21" s="39"/>
      <c r="BH21" s="39"/>
      <c r="BI21" s="39"/>
      <c r="BJ21" s="39"/>
      <c r="BK21" s="39"/>
      <c r="BL21" s="39"/>
      <c r="BM21" s="39"/>
      <c r="BN21" s="39"/>
      <c r="BO21" s="39"/>
      <c r="BP21" s="39"/>
      <c r="BQ21" s="39"/>
      <c r="BR21" s="39"/>
      <c r="BS21" s="39"/>
      <c r="BT21" s="39"/>
      <c r="BU21" s="39"/>
      <c r="BV21" s="39"/>
      <c r="BW21" s="39"/>
      <c r="BX21" s="39"/>
      <c r="BY21" s="39"/>
      <c r="BZ21" s="39"/>
      <c r="CA21" s="39"/>
      <c r="CB21" s="39"/>
      <c r="CC21" s="39"/>
      <c r="CD21" s="39"/>
      <c r="CE21" s="39"/>
      <c r="CF21" s="39"/>
      <c r="CG21" s="39"/>
    </row>
    <row r="22" spans="1:85" ht="18" customHeight="1" x14ac:dyDescent="0.2">
      <c r="A22" s="33"/>
      <c r="B22" s="1967">
        <f>+O14+1</f>
        <v>2021</v>
      </c>
      <c r="C22" s="1967"/>
      <c r="D22" s="1967"/>
      <c r="E22" s="1967"/>
      <c r="F22" s="1967"/>
      <c r="G22" s="1967"/>
      <c r="H22" s="1967"/>
      <c r="I22" s="1967"/>
      <c r="J22" s="1967"/>
      <c r="K22" s="1967"/>
      <c r="L22" s="1967"/>
      <c r="M22" s="1967"/>
      <c r="N22" s="1963" t="s">
        <v>153</v>
      </c>
      <c r="O22" s="1962">
        <f>+B22+1</f>
        <v>2022</v>
      </c>
      <c r="P22" s="1962"/>
      <c r="Q22" s="1962"/>
      <c r="R22" s="1962"/>
      <c r="S22" s="1962"/>
      <c r="T22" s="1962"/>
      <c r="U22" s="1962"/>
      <c r="V22" s="1962"/>
      <c r="W22" s="1962"/>
      <c r="X22" s="1962"/>
      <c r="Y22" s="1962"/>
      <c r="Z22" s="1962"/>
      <c r="AA22" s="1963" t="s">
        <v>154</v>
      </c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9"/>
      <c r="BK22" s="39"/>
      <c r="BL22" s="39"/>
      <c r="BM22" s="39"/>
      <c r="BN22" s="39"/>
      <c r="BO22" s="39"/>
      <c r="BP22" s="39"/>
      <c r="BQ22" s="39"/>
      <c r="BR22" s="39"/>
      <c r="BS22" s="39"/>
      <c r="BT22" s="39"/>
      <c r="BU22" s="39"/>
      <c r="BV22" s="39"/>
      <c r="BW22" s="39"/>
      <c r="BX22" s="39"/>
      <c r="BY22" s="39"/>
      <c r="BZ22" s="39"/>
      <c r="CA22" s="39"/>
      <c r="CB22" s="39"/>
      <c r="CC22" s="39"/>
      <c r="CD22" s="39"/>
      <c r="CE22" s="39"/>
      <c r="CF22" s="39"/>
      <c r="CG22" s="39"/>
    </row>
    <row r="23" spans="1:85" ht="18" customHeight="1" x14ac:dyDescent="0.2">
      <c r="A23" s="33"/>
      <c r="B23" s="1141" t="str">
        <f t="shared" ref="B23:M23" si="28">+B15</f>
        <v>Ene</v>
      </c>
      <c r="C23" s="1141" t="str">
        <f t="shared" si="28"/>
        <v>Feb</v>
      </c>
      <c r="D23" s="1141" t="str">
        <f t="shared" si="28"/>
        <v>Mar</v>
      </c>
      <c r="E23" s="1141" t="str">
        <f t="shared" si="28"/>
        <v>Abr</v>
      </c>
      <c r="F23" s="1141" t="str">
        <f t="shared" si="28"/>
        <v>May</v>
      </c>
      <c r="G23" s="1141" t="str">
        <f t="shared" si="28"/>
        <v>Jun</v>
      </c>
      <c r="H23" s="1141" t="str">
        <f t="shared" si="28"/>
        <v>Jul</v>
      </c>
      <c r="I23" s="1141" t="str">
        <f t="shared" si="28"/>
        <v>Ago</v>
      </c>
      <c r="J23" s="1141" t="str">
        <f t="shared" si="28"/>
        <v>Sep</v>
      </c>
      <c r="K23" s="1141" t="str">
        <f t="shared" si="28"/>
        <v>Oct</v>
      </c>
      <c r="L23" s="1141" t="str">
        <f t="shared" si="28"/>
        <v>Nov</v>
      </c>
      <c r="M23" s="1141" t="str">
        <f t="shared" si="28"/>
        <v>Dic</v>
      </c>
      <c r="N23" s="1963"/>
      <c r="O23" s="1141" t="str">
        <f t="shared" ref="O23:Z23" si="29">+O15</f>
        <v>Ene</v>
      </c>
      <c r="P23" s="1141" t="str">
        <f t="shared" si="29"/>
        <v>Feb</v>
      </c>
      <c r="Q23" s="1141" t="str">
        <f t="shared" si="29"/>
        <v>Mar</v>
      </c>
      <c r="R23" s="1141" t="str">
        <f t="shared" si="29"/>
        <v>Abr</v>
      </c>
      <c r="S23" s="1141" t="str">
        <f t="shared" si="29"/>
        <v>May</v>
      </c>
      <c r="T23" s="1141" t="str">
        <f t="shared" si="29"/>
        <v>Jun</v>
      </c>
      <c r="U23" s="1141" t="str">
        <f t="shared" si="29"/>
        <v>Jul</v>
      </c>
      <c r="V23" s="1141" t="str">
        <f t="shared" si="29"/>
        <v>Ago</v>
      </c>
      <c r="W23" s="1141" t="str">
        <f t="shared" si="29"/>
        <v>Sep</v>
      </c>
      <c r="X23" s="1141" t="str">
        <f t="shared" si="29"/>
        <v>Oct</v>
      </c>
      <c r="Y23" s="1141" t="str">
        <f t="shared" si="29"/>
        <v>Nov</v>
      </c>
      <c r="Z23" s="1141" t="str">
        <f t="shared" si="29"/>
        <v>Dic</v>
      </c>
      <c r="AA23" s="196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9"/>
      <c r="AM23" s="39"/>
      <c r="AN23" s="39"/>
      <c r="AO23" s="39"/>
      <c r="AP23" s="39"/>
      <c r="AQ23" s="39"/>
      <c r="AR23" s="39"/>
      <c r="AS23" s="39"/>
      <c r="AT23" s="39"/>
      <c r="AU23" s="39"/>
      <c r="AV23" s="39"/>
      <c r="AW23" s="39"/>
      <c r="AX23" s="39"/>
      <c r="AY23" s="39"/>
      <c r="AZ23" s="39"/>
      <c r="BA23" s="39"/>
      <c r="BB23" s="39"/>
      <c r="BC23" s="39"/>
      <c r="BD23" s="39"/>
      <c r="BE23" s="39"/>
      <c r="BF23" s="39"/>
      <c r="BG23" s="39"/>
      <c r="BH23" s="39"/>
      <c r="BI23" s="39"/>
      <c r="BJ23" s="39"/>
      <c r="BK23" s="39"/>
      <c r="BL23" s="39"/>
      <c r="BM23" s="39"/>
      <c r="BN23" s="39"/>
      <c r="BO23" s="39"/>
      <c r="BP23" s="39"/>
      <c r="BQ23" s="39"/>
      <c r="BR23" s="39"/>
      <c r="BS23" s="39"/>
      <c r="BT23" s="39"/>
      <c r="BU23" s="39"/>
      <c r="BV23" s="39"/>
      <c r="BW23" s="39"/>
      <c r="BX23" s="39"/>
      <c r="BY23" s="39"/>
      <c r="BZ23" s="39"/>
      <c r="CA23" s="39"/>
      <c r="CB23" s="39"/>
      <c r="CC23" s="39"/>
      <c r="CD23" s="39"/>
      <c r="CE23" s="39"/>
      <c r="CF23" s="39"/>
      <c r="CG23" s="39"/>
    </row>
    <row r="24" spans="1:85" ht="18" customHeight="1" x14ac:dyDescent="0.2">
      <c r="A24" s="1142" t="s">
        <v>43</v>
      </c>
      <c r="B24" s="35">
        <f>IF(B37=0,0,IF(B42=1,$B$5,Z20))</f>
        <v>0</v>
      </c>
      <c r="C24" s="35">
        <f>IF(C36=0,0,IF(C42=1,$B$5,B28))</f>
        <v>0</v>
      </c>
      <c r="D24" s="35">
        <f t="shared" ref="D24:M24" si="30">IF(D36=0,0,IF(D42=1,$B$5,C28))</f>
        <v>0</v>
      </c>
      <c r="E24" s="35">
        <f t="shared" si="30"/>
        <v>0</v>
      </c>
      <c r="F24" s="35">
        <f t="shared" si="30"/>
        <v>0</v>
      </c>
      <c r="G24" s="35">
        <f t="shared" si="30"/>
        <v>0</v>
      </c>
      <c r="H24" s="35">
        <f t="shared" si="30"/>
        <v>0</v>
      </c>
      <c r="I24" s="35">
        <f t="shared" si="30"/>
        <v>0</v>
      </c>
      <c r="J24" s="35">
        <f t="shared" si="30"/>
        <v>0</v>
      </c>
      <c r="K24" s="35">
        <f t="shared" si="30"/>
        <v>0</v>
      </c>
      <c r="L24" s="35">
        <f t="shared" si="30"/>
        <v>0</v>
      </c>
      <c r="M24" s="35">
        <f t="shared" si="30"/>
        <v>0</v>
      </c>
      <c r="N24" s="1143">
        <f>+B24</f>
        <v>0</v>
      </c>
      <c r="O24" s="35">
        <f>IF(O37=0,0,IF(O42=1,$B$5,M28))</f>
        <v>0</v>
      </c>
      <c r="P24" s="35">
        <f>IF(P37=0,0,IF(P42=1,$B$5,O28))</f>
        <v>0</v>
      </c>
      <c r="Q24" s="35">
        <f t="shared" ref="Q24:Z24" si="31">IF(Q37=0,0,IF(Q42=1,$B$5,P28))</f>
        <v>0</v>
      </c>
      <c r="R24" s="35">
        <f t="shared" si="31"/>
        <v>0</v>
      </c>
      <c r="S24" s="35">
        <f t="shared" si="31"/>
        <v>0</v>
      </c>
      <c r="T24" s="35">
        <f t="shared" si="31"/>
        <v>0</v>
      </c>
      <c r="U24" s="35">
        <f t="shared" si="31"/>
        <v>0</v>
      </c>
      <c r="V24" s="35">
        <f t="shared" si="31"/>
        <v>0</v>
      </c>
      <c r="W24" s="35">
        <f t="shared" si="31"/>
        <v>0</v>
      </c>
      <c r="X24" s="35">
        <f t="shared" si="31"/>
        <v>0</v>
      </c>
      <c r="Y24" s="35">
        <f t="shared" si="31"/>
        <v>0</v>
      </c>
      <c r="Z24" s="35">
        <f t="shared" si="31"/>
        <v>0</v>
      </c>
      <c r="AA24" s="1143">
        <f>+O24</f>
        <v>0</v>
      </c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9"/>
      <c r="AM24" s="39"/>
      <c r="AN24" s="39"/>
      <c r="AO24" s="39"/>
      <c r="AP24" s="39"/>
      <c r="AQ24" s="39"/>
      <c r="AR24" s="39"/>
      <c r="AS24" s="39"/>
      <c r="AT24" s="39"/>
      <c r="AU24" s="39"/>
      <c r="AV24" s="39"/>
      <c r="AW24" s="39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39"/>
      <c r="BM24" s="39"/>
      <c r="BN24" s="39"/>
      <c r="BO24" s="39"/>
      <c r="BP24" s="39"/>
      <c r="BQ24" s="39"/>
      <c r="BR24" s="39"/>
      <c r="BS24" s="39"/>
      <c r="BT24" s="39"/>
      <c r="BU24" s="39"/>
      <c r="BV24" s="39"/>
      <c r="BW24" s="39"/>
      <c r="BX24" s="39"/>
      <c r="BY24" s="39"/>
      <c r="BZ24" s="39"/>
      <c r="CA24" s="39"/>
      <c r="CB24" s="39"/>
      <c r="CC24" s="39"/>
      <c r="CD24" s="39"/>
      <c r="CE24" s="39"/>
      <c r="CF24" s="39"/>
      <c r="CG24" s="39"/>
    </row>
    <row r="25" spans="1:85" ht="18" customHeight="1" x14ac:dyDescent="0.2">
      <c r="A25" s="1142" t="s">
        <v>267</v>
      </c>
      <c r="B25" s="35">
        <f>IF(Z34=0,0,(B24*$C$5/12))</f>
        <v>0</v>
      </c>
      <c r="C25" s="35">
        <f t="shared" ref="C25:M25" si="32">IF(B37=0,0,(C24*$C$5/12))</f>
        <v>0</v>
      </c>
      <c r="D25" s="35">
        <f t="shared" si="32"/>
        <v>0</v>
      </c>
      <c r="E25" s="35">
        <f t="shared" si="32"/>
        <v>0</v>
      </c>
      <c r="F25" s="35">
        <f t="shared" si="32"/>
        <v>0</v>
      </c>
      <c r="G25" s="35">
        <f t="shared" si="32"/>
        <v>0</v>
      </c>
      <c r="H25" s="35">
        <f t="shared" si="32"/>
        <v>0</v>
      </c>
      <c r="I25" s="35">
        <f t="shared" si="32"/>
        <v>0</v>
      </c>
      <c r="J25" s="35">
        <f t="shared" si="32"/>
        <v>0</v>
      </c>
      <c r="K25" s="35">
        <f t="shared" si="32"/>
        <v>0</v>
      </c>
      <c r="L25" s="35">
        <f t="shared" si="32"/>
        <v>0</v>
      </c>
      <c r="M25" s="35">
        <f t="shared" si="32"/>
        <v>0</v>
      </c>
      <c r="N25" s="1143">
        <f>SUM(B25:M25)</f>
        <v>0</v>
      </c>
      <c r="O25" s="35">
        <f>IF(M37=0,0,(O24*$C$5/12))</f>
        <v>0</v>
      </c>
      <c r="P25" s="35">
        <f t="shared" ref="P25:Z25" si="33">IF(O37=0,0,(P24*$C$5/12))</f>
        <v>0</v>
      </c>
      <c r="Q25" s="35">
        <f t="shared" si="33"/>
        <v>0</v>
      </c>
      <c r="R25" s="35">
        <f t="shared" si="33"/>
        <v>0</v>
      </c>
      <c r="S25" s="35">
        <f t="shared" si="33"/>
        <v>0</v>
      </c>
      <c r="T25" s="35">
        <f t="shared" si="33"/>
        <v>0</v>
      </c>
      <c r="U25" s="35">
        <f t="shared" si="33"/>
        <v>0</v>
      </c>
      <c r="V25" s="35">
        <f t="shared" si="33"/>
        <v>0</v>
      </c>
      <c r="W25" s="35">
        <f t="shared" si="33"/>
        <v>0</v>
      </c>
      <c r="X25" s="35">
        <f t="shared" si="33"/>
        <v>0</v>
      </c>
      <c r="Y25" s="35">
        <f t="shared" si="33"/>
        <v>0</v>
      </c>
      <c r="Z25" s="35">
        <f t="shared" si="33"/>
        <v>0</v>
      </c>
      <c r="AA25" s="1143">
        <f>SUM(O25:Z25)</f>
        <v>0</v>
      </c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9"/>
      <c r="AM25" s="39"/>
      <c r="AN25" s="39"/>
      <c r="AO25" s="39"/>
      <c r="AP25" s="39"/>
      <c r="AQ25" s="39"/>
      <c r="AR25" s="39"/>
      <c r="AS25" s="39"/>
      <c r="AT25" s="39"/>
      <c r="AU25" s="39"/>
      <c r="AV25" s="39"/>
      <c r="AW25" s="39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  <c r="BZ25" s="39"/>
      <c r="CA25" s="39"/>
      <c r="CB25" s="39"/>
      <c r="CC25" s="39"/>
      <c r="CD25" s="39"/>
      <c r="CE25" s="39"/>
      <c r="CF25" s="39"/>
      <c r="CG25" s="39"/>
    </row>
    <row r="26" spans="1:85" ht="18" customHeight="1" x14ac:dyDescent="0.2">
      <c r="A26" s="1142" t="str">
        <f>+A18</f>
        <v>Amortización</v>
      </c>
      <c r="B26" s="35">
        <f t="shared" ref="B26:M26" si="34">IF(B24=0,0,IF(B36&lt;=$F$5+$D$5,0,$B$5/($E$5-$D$5)))</f>
        <v>0</v>
      </c>
      <c r="C26" s="35">
        <f t="shared" si="34"/>
        <v>0</v>
      </c>
      <c r="D26" s="35">
        <f t="shared" si="34"/>
        <v>0</v>
      </c>
      <c r="E26" s="35">
        <f t="shared" si="34"/>
        <v>0</v>
      </c>
      <c r="F26" s="35">
        <f t="shared" si="34"/>
        <v>0</v>
      </c>
      <c r="G26" s="35">
        <f t="shared" si="34"/>
        <v>0</v>
      </c>
      <c r="H26" s="35">
        <f t="shared" si="34"/>
        <v>0</v>
      </c>
      <c r="I26" s="35">
        <f t="shared" si="34"/>
        <v>0</v>
      </c>
      <c r="J26" s="35">
        <f t="shared" si="34"/>
        <v>0</v>
      </c>
      <c r="K26" s="35">
        <f t="shared" si="34"/>
        <v>0</v>
      </c>
      <c r="L26" s="35">
        <f t="shared" si="34"/>
        <v>0</v>
      </c>
      <c r="M26" s="35">
        <f t="shared" si="34"/>
        <v>0</v>
      </c>
      <c r="N26" s="1143">
        <f>SUM(B26:M26)</f>
        <v>0</v>
      </c>
      <c r="O26" s="35">
        <f t="shared" ref="O26:Z26" si="35">IF(O24=0,0,IF(O36&lt;=$F$5+$D$5,0,$B$5/($E$5-$D$5)))</f>
        <v>0</v>
      </c>
      <c r="P26" s="35">
        <f t="shared" si="35"/>
        <v>0</v>
      </c>
      <c r="Q26" s="35">
        <f t="shared" si="35"/>
        <v>0</v>
      </c>
      <c r="R26" s="35">
        <f t="shared" si="35"/>
        <v>0</v>
      </c>
      <c r="S26" s="35">
        <f t="shared" si="35"/>
        <v>0</v>
      </c>
      <c r="T26" s="35">
        <f t="shared" si="35"/>
        <v>0</v>
      </c>
      <c r="U26" s="35">
        <f t="shared" si="35"/>
        <v>0</v>
      </c>
      <c r="V26" s="35">
        <f t="shared" si="35"/>
        <v>0</v>
      </c>
      <c r="W26" s="35">
        <f t="shared" si="35"/>
        <v>0</v>
      </c>
      <c r="X26" s="35">
        <f t="shared" si="35"/>
        <v>0</v>
      </c>
      <c r="Y26" s="35">
        <f t="shared" si="35"/>
        <v>0</v>
      </c>
      <c r="Z26" s="35">
        <f t="shared" si="35"/>
        <v>0</v>
      </c>
      <c r="AA26" s="1143">
        <f>SUM(O26:Z26)</f>
        <v>0</v>
      </c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  <c r="BU26" s="39"/>
      <c r="BV26" s="39"/>
      <c r="BW26" s="39"/>
      <c r="BX26" s="39"/>
      <c r="BY26" s="39"/>
      <c r="BZ26" s="39"/>
      <c r="CA26" s="39"/>
      <c r="CB26" s="39"/>
      <c r="CC26" s="39"/>
      <c r="CD26" s="39"/>
      <c r="CE26" s="39"/>
      <c r="CF26" s="39"/>
      <c r="CG26" s="39"/>
    </row>
    <row r="27" spans="1:85" ht="18" customHeight="1" x14ac:dyDescent="0.2">
      <c r="A27" s="1142" t="s">
        <v>52</v>
      </c>
      <c r="B27" s="35">
        <f t="shared" ref="B27:M27" si="36">+B25+B26</f>
        <v>0</v>
      </c>
      <c r="C27" s="35">
        <f t="shared" si="36"/>
        <v>0</v>
      </c>
      <c r="D27" s="35">
        <f t="shared" si="36"/>
        <v>0</v>
      </c>
      <c r="E27" s="35">
        <f t="shared" si="36"/>
        <v>0</v>
      </c>
      <c r="F27" s="35">
        <f t="shared" si="36"/>
        <v>0</v>
      </c>
      <c r="G27" s="35">
        <f t="shared" si="36"/>
        <v>0</v>
      </c>
      <c r="H27" s="35">
        <f t="shared" si="36"/>
        <v>0</v>
      </c>
      <c r="I27" s="35">
        <f t="shared" si="36"/>
        <v>0</v>
      </c>
      <c r="J27" s="35">
        <f t="shared" si="36"/>
        <v>0</v>
      </c>
      <c r="K27" s="35">
        <f t="shared" si="36"/>
        <v>0</v>
      </c>
      <c r="L27" s="35">
        <f t="shared" si="36"/>
        <v>0</v>
      </c>
      <c r="M27" s="35">
        <f t="shared" si="36"/>
        <v>0</v>
      </c>
      <c r="N27" s="1143">
        <f>SUM(B27:M27)</f>
        <v>0</v>
      </c>
      <c r="O27" s="35">
        <f t="shared" ref="O27:Z27" si="37">+O25+O26</f>
        <v>0</v>
      </c>
      <c r="P27" s="35">
        <f t="shared" si="37"/>
        <v>0</v>
      </c>
      <c r="Q27" s="35">
        <f t="shared" si="37"/>
        <v>0</v>
      </c>
      <c r="R27" s="35">
        <f t="shared" si="37"/>
        <v>0</v>
      </c>
      <c r="S27" s="35">
        <f t="shared" si="37"/>
        <v>0</v>
      </c>
      <c r="T27" s="35">
        <f t="shared" si="37"/>
        <v>0</v>
      </c>
      <c r="U27" s="35">
        <f t="shared" si="37"/>
        <v>0</v>
      </c>
      <c r="V27" s="35">
        <f t="shared" si="37"/>
        <v>0</v>
      </c>
      <c r="W27" s="35">
        <f t="shared" si="37"/>
        <v>0</v>
      </c>
      <c r="X27" s="35">
        <f t="shared" si="37"/>
        <v>0</v>
      </c>
      <c r="Y27" s="35">
        <f t="shared" si="37"/>
        <v>0</v>
      </c>
      <c r="Z27" s="35">
        <f t="shared" si="37"/>
        <v>0</v>
      </c>
      <c r="AA27" s="1143">
        <f>SUM(O27:Z27)</f>
        <v>0</v>
      </c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9"/>
      <c r="AM27" s="39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  <c r="BZ27" s="39"/>
      <c r="CA27" s="39"/>
      <c r="CB27" s="39"/>
      <c r="CC27" s="39"/>
      <c r="CD27" s="39"/>
      <c r="CE27" s="39"/>
      <c r="CF27" s="39"/>
      <c r="CG27" s="39"/>
    </row>
    <row r="28" spans="1:85" ht="18" customHeight="1" x14ac:dyDescent="0.2">
      <c r="A28" s="1142" t="s">
        <v>45</v>
      </c>
      <c r="B28" s="35">
        <f t="shared" ref="B28:M28" si="38">IF(B24-B26&lt;=0.01,0,B24-B26)</f>
        <v>0</v>
      </c>
      <c r="C28" s="35">
        <f t="shared" si="38"/>
        <v>0</v>
      </c>
      <c r="D28" s="35">
        <f t="shared" si="38"/>
        <v>0</v>
      </c>
      <c r="E28" s="35">
        <f t="shared" si="38"/>
        <v>0</v>
      </c>
      <c r="F28" s="35">
        <f t="shared" si="38"/>
        <v>0</v>
      </c>
      <c r="G28" s="35">
        <f t="shared" si="38"/>
        <v>0</v>
      </c>
      <c r="H28" s="35">
        <f t="shared" si="38"/>
        <v>0</v>
      </c>
      <c r="I28" s="35">
        <f t="shared" si="38"/>
        <v>0</v>
      </c>
      <c r="J28" s="35">
        <f t="shared" si="38"/>
        <v>0</v>
      </c>
      <c r="K28" s="35">
        <f t="shared" si="38"/>
        <v>0</v>
      </c>
      <c r="L28" s="35">
        <f t="shared" si="38"/>
        <v>0</v>
      </c>
      <c r="M28" s="35">
        <f t="shared" si="38"/>
        <v>0</v>
      </c>
      <c r="N28" s="1143">
        <f>+M28</f>
        <v>0</v>
      </c>
      <c r="O28" s="35">
        <f t="shared" ref="O28:Z28" si="39">IF(O24-O26&lt;=0.01,0,O24-O26)</f>
        <v>0</v>
      </c>
      <c r="P28" s="35">
        <f t="shared" si="39"/>
        <v>0</v>
      </c>
      <c r="Q28" s="35">
        <f t="shared" si="39"/>
        <v>0</v>
      </c>
      <c r="R28" s="35">
        <f t="shared" si="39"/>
        <v>0</v>
      </c>
      <c r="S28" s="35">
        <f t="shared" si="39"/>
        <v>0</v>
      </c>
      <c r="T28" s="35">
        <f t="shared" si="39"/>
        <v>0</v>
      </c>
      <c r="U28" s="35">
        <f t="shared" si="39"/>
        <v>0</v>
      </c>
      <c r="V28" s="35">
        <f t="shared" si="39"/>
        <v>0</v>
      </c>
      <c r="W28" s="35">
        <f t="shared" si="39"/>
        <v>0</v>
      </c>
      <c r="X28" s="35">
        <f t="shared" si="39"/>
        <v>0</v>
      </c>
      <c r="Y28" s="35">
        <f t="shared" si="39"/>
        <v>0</v>
      </c>
      <c r="Z28" s="35">
        <f t="shared" si="39"/>
        <v>0</v>
      </c>
      <c r="AA28" s="1143">
        <f>+Z28</f>
        <v>0</v>
      </c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9"/>
      <c r="AM28" s="39"/>
      <c r="AN28" s="39"/>
      <c r="AO28" s="39"/>
      <c r="AP28" s="39"/>
      <c r="AQ28" s="39"/>
      <c r="AR28" s="39"/>
      <c r="AS28" s="39"/>
      <c r="AT28" s="39"/>
      <c r="AU28" s="39"/>
      <c r="AV28" s="39"/>
      <c r="AW28" s="39"/>
      <c r="AX28" s="39"/>
      <c r="AY28" s="39"/>
      <c r="AZ28" s="39"/>
      <c r="BA28" s="39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39"/>
      <c r="BM28" s="39"/>
      <c r="BN28" s="39"/>
      <c r="BO28" s="39"/>
      <c r="BP28" s="39"/>
      <c r="BQ28" s="39"/>
      <c r="BR28" s="39"/>
      <c r="BS28" s="39"/>
      <c r="BT28" s="39"/>
      <c r="BU28" s="39"/>
      <c r="BV28" s="39"/>
      <c r="BW28" s="39"/>
      <c r="BX28" s="39"/>
      <c r="BY28" s="39"/>
      <c r="BZ28" s="39"/>
      <c r="CA28" s="39"/>
      <c r="CB28" s="39"/>
      <c r="CC28" s="39"/>
      <c r="CD28" s="39"/>
      <c r="CE28" s="39"/>
      <c r="CF28" s="39"/>
      <c r="CG28" s="39"/>
    </row>
    <row r="29" spans="1:85" x14ac:dyDescent="0.2">
      <c r="A29" s="39"/>
      <c r="B29" s="39"/>
      <c r="C29" s="39"/>
      <c r="D29" s="39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39"/>
      <c r="AO29" s="39"/>
      <c r="AP29" s="39"/>
      <c r="AQ29" s="39"/>
      <c r="AR29" s="39"/>
      <c r="AS29" s="39"/>
      <c r="AT29" s="39"/>
      <c r="AU29" s="39"/>
      <c r="AV29" s="39"/>
      <c r="AW29" s="39"/>
      <c r="AX29" s="3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P29" s="39"/>
      <c r="BQ29" s="39"/>
      <c r="BR29" s="39"/>
      <c r="BS29" s="39"/>
      <c r="BT29" s="39"/>
      <c r="BU29" s="39"/>
      <c r="BV29" s="39"/>
      <c r="BW29" s="39"/>
      <c r="BX29" s="39"/>
      <c r="BY29" s="39"/>
      <c r="BZ29" s="39"/>
      <c r="CA29" s="39"/>
      <c r="CB29" s="39"/>
      <c r="CC29" s="39"/>
      <c r="CD29" s="39"/>
      <c r="CE29" s="39"/>
      <c r="CF29" s="39"/>
      <c r="CG29" s="39"/>
    </row>
    <row r="30" spans="1:85" x14ac:dyDescent="0.2">
      <c r="A30" s="39" t="s">
        <v>189</v>
      </c>
      <c r="B30" s="39">
        <f t="shared" ref="B30:M30" si="40">+B3</f>
        <v>1</v>
      </c>
      <c r="C30" s="39">
        <f t="shared" si="40"/>
        <v>2</v>
      </c>
      <c r="D30" s="39">
        <f t="shared" si="40"/>
        <v>3</v>
      </c>
      <c r="E30" s="39">
        <f t="shared" si="40"/>
        <v>4</v>
      </c>
      <c r="F30" s="39">
        <f t="shared" si="40"/>
        <v>5</v>
      </c>
      <c r="G30" s="39">
        <f t="shared" si="40"/>
        <v>6</v>
      </c>
      <c r="H30" s="39">
        <f t="shared" si="40"/>
        <v>7</v>
      </c>
      <c r="I30" s="39">
        <f t="shared" si="40"/>
        <v>8</v>
      </c>
      <c r="J30" s="39">
        <f t="shared" si="40"/>
        <v>9</v>
      </c>
      <c r="K30" s="39">
        <f t="shared" si="40"/>
        <v>10</v>
      </c>
      <c r="L30" s="39">
        <f t="shared" si="40"/>
        <v>11</v>
      </c>
      <c r="M30" s="39">
        <f t="shared" si="40"/>
        <v>12</v>
      </c>
      <c r="N30" s="39">
        <f>+M30</f>
        <v>12</v>
      </c>
      <c r="O30" s="39">
        <f t="shared" ref="O30:Z30" si="41">+O3</f>
        <v>13</v>
      </c>
      <c r="P30" s="39">
        <f t="shared" si="41"/>
        <v>14</v>
      </c>
      <c r="Q30" s="39">
        <f t="shared" si="41"/>
        <v>15</v>
      </c>
      <c r="R30" s="39">
        <f t="shared" si="41"/>
        <v>16</v>
      </c>
      <c r="S30" s="39">
        <f t="shared" si="41"/>
        <v>17</v>
      </c>
      <c r="T30" s="39">
        <f t="shared" si="41"/>
        <v>18</v>
      </c>
      <c r="U30" s="39">
        <f t="shared" si="41"/>
        <v>19</v>
      </c>
      <c r="V30" s="39">
        <f t="shared" si="41"/>
        <v>20</v>
      </c>
      <c r="W30" s="39">
        <f t="shared" si="41"/>
        <v>21</v>
      </c>
      <c r="X30" s="39">
        <f t="shared" si="41"/>
        <v>22</v>
      </c>
      <c r="Y30" s="39">
        <f t="shared" si="41"/>
        <v>23</v>
      </c>
      <c r="Z30" s="39">
        <f t="shared" si="41"/>
        <v>24</v>
      </c>
      <c r="AA30" s="39"/>
      <c r="AB30" s="39"/>
      <c r="AC30" s="39"/>
      <c r="AD30" s="39"/>
      <c r="AE30" s="39"/>
      <c r="AF30" s="39"/>
      <c r="AG30" s="39"/>
      <c r="AH30" s="39"/>
      <c r="AI30" s="39"/>
      <c r="AJ30" s="39"/>
      <c r="AK30" s="39"/>
      <c r="AL30" s="39"/>
      <c r="AM30" s="39"/>
      <c r="AN30" s="39"/>
      <c r="AO30" s="39"/>
      <c r="AP30" s="39"/>
      <c r="AQ30" s="39"/>
      <c r="AR30" s="39"/>
      <c r="AS30" s="39"/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P30" s="39"/>
      <c r="BQ30" s="39"/>
      <c r="BR30" s="39"/>
      <c r="BS30" s="39"/>
      <c r="BT30" s="39"/>
      <c r="BU30" s="39"/>
      <c r="BV30" s="39"/>
      <c r="BW30" s="39"/>
      <c r="BX30" s="39"/>
      <c r="BY30" s="39"/>
      <c r="BZ30" s="39"/>
      <c r="CA30" s="39"/>
      <c r="CB30" s="39"/>
      <c r="CC30" s="39"/>
      <c r="CD30" s="39"/>
      <c r="CE30" s="39"/>
      <c r="CF30" s="39"/>
      <c r="CG30" s="39"/>
    </row>
    <row r="31" spans="1:85" x14ac:dyDescent="0.2">
      <c r="A31" s="39" t="s">
        <v>188</v>
      </c>
      <c r="B31" s="39">
        <f t="shared" ref="B31:M31" si="42">IF(B30&lt;$F$5,0,IF(B30=$F$5,1,IF(B30&gt;$F$5+$E$5,0,A31+1)))</f>
        <v>0</v>
      </c>
      <c r="C31" s="39">
        <f t="shared" si="42"/>
        <v>0</v>
      </c>
      <c r="D31" s="39">
        <f t="shared" si="42"/>
        <v>0</v>
      </c>
      <c r="E31" s="39">
        <f t="shared" si="42"/>
        <v>0</v>
      </c>
      <c r="F31" s="39">
        <f t="shared" si="42"/>
        <v>1</v>
      </c>
      <c r="G31" s="39">
        <f t="shared" si="42"/>
        <v>2</v>
      </c>
      <c r="H31" s="39">
        <f t="shared" si="42"/>
        <v>3</v>
      </c>
      <c r="I31" s="39">
        <f t="shared" si="42"/>
        <v>4</v>
      </c>
      <c r="J31" s="39">
        <f t="shared" si="42"/>
        <v>5</v>
      </c>
      <c r="K31" s="39">
        <f t="shared" si="42"/>
        <v>6</v>
      </c>
      <c r="L31" s="39">
        <f t="shared" si="42"/>
        <v>7</v>
      </c>
      <c r="M31" s="39">
        <f t="shared" si="42"/>
        <v>8</v>
      </c>
      <c r="N31" s="39">
        <f>+M31</f>
        <v>8</v>
      </c>
      <c r="O31" s="39">
        <f t="shared" ref="O31:Z31" si="43">IF(O30&lt;$F$5,0,IF(O30=$F$5,1,IF(O30&gt;$F$5+$E$5,0,N31+1)))</f>
        <v>9</v>
      </c>
      <c r="P31" s="39">
        <f t="shared" si="43"/>
        <v>10</v>
      </c>
      <c r="Q31" s="39">
        <f t="shared" si="43"/>
        <v>11</v>
      </c>
      <c r="R31" s="39">
        <f t="shared" si="43"/>
        <v>12</v>
      </c>
      <c r="S31" s="39">
        <f t="shared" si="43"/>
        <v>13</v>
      </c>
      <c r="T31" s="39">
        <f t="shared" si="43"/>
        <v>14</v>
      </c>
      <c r="U31" s="39">
        <f t="shared" si="43"/>
        <v>15</v>
      </c>
      <c r="V31" s="39">
        <f t="shared" si="43"/>
        <v>16</v>
      </c>
      <c r="W31" s="39">
        <f t="shared" si="43"/>
        <v>17</v>
      </c>
      <c r="X31" s="39">
        <f t="shared" si="43"/>
        <v>18</v>
      </c>
      <c r="Y31" s="39">
        <f t="shared" si="43"/>
        <v>19</v>
      </c>
      <c r="Z31" s="39">
        <f t="shared" si="43"/>
        <v>20</v>
      </c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39"/>
      <c r="AN31" s="39"/>
      <c r="AO31" s="39"/>
      <c r="AP31" s="39"/>
      <c r="AQ31" s="39"/>
      <c r="AR31" s="39"/>
      <c r="AS31" s="39"/>
      <c r="AT31" s="39"/>
      <c r="AU31" s="39"/>
      <c r="AV31" s="39"/>
      <c r="AW31" s="39"/>
      <c r="AX31" s="39"/>
      <c r="AY31" s="39"/>
      <c r="AZ31" s="39"/>
      <c r="BA31" s="39"/>
      <c r="BB31" s="39"/>
      <c r="BC31" s="39"/>
      <c r="BD31" s="39"/>
      <c r="BE31" s="39"/>
      <c r="BF31" s="39"/>
      <c r="BG31" s="39"/>
      <c r="BH31" s="39"/>
      <c r="BI31" s="39"/>
      <c r="BJ31" s="39"/>
      <c r="BK31" s="39"/>
      <c r="BL31" s="39"/>
      <c r="BM31" s="39"/>
      <c r="BN31" s="39"/>
      <c r="BO31" s="39"/>
      <c r="BP31" s="39"/>
      <c r="BQ31" s="39"/>
      <c r="BR31" s="39"/>
      <c r="BS31" s="39"/>
      <c r="BT31" s="39"/>
      <c r="BU31" s="39"/>
      <c r="BV31" s="39"/>
      <c r="BW31" s="39"/>
      <c r="BX31" s="39"/>
      <c r="BY31" s="39"/>
      <c r="BZ31" s="39"/>
      <c r="CA31" s="39"/>
      <c r="CB31" s="39"/>
      <c r="CC31" s="39"/>
      <c r="CD31" s="39"/>
      <c r="CE31" s="39"/>
      <c r="CF31" s="39"/>
      <c r="CG31" s="39"/>
    </row>
    <row r="32" spans="1:85" x14ac:dyDescent="0.2">
      <c r="A32" s="39"/>
      <c r="B32" s="3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39"/>
      <c r="CG32" s="39"/>
    </row>
    <row r="33" spans="1:97" x14ac:dyDescent="0.2">
      <c r="A33" s="39" t="str">
        <f>+A30</f>
        <v>Numero del mes</v>
      </c>
      <c r="B33" s="39">
        <f>+Z3+1</f>
        <v>25</v>
      </c>
      <c r="C33" s="39">
        <f t="shared" ref="C33:M33" si="44">+B33+1</f>
        <v>26</v>
      </c>
      <c r="D33" s="39">
        <f t="shared" si="44"/>
        <v>27</v>
      </c>
      <c r="E33" s="39">
        <f t="shared" si="44"/>
        <v>28</v>
      </c>
      <c r="F33" s="39">
        <f t="shared" si="44"/>
        <v>29</v>
      </c>
      <c r="G33" s="39">
        <f t="shared" si="44"/>
        <v>30</v>
      </c>
      <c r="H33" s="39">
        <f t="shared" si="44"/>
        <v>31</v>
      </c>
      <c r="I33" s="39">
        <f t="shared" si="44"/>
        <v>32</v>
      </c>
      <c r="J33" s="39">
        <f t="shared" si="44"/>
        <v>33</v>
      </c>
      <c r="K33" s="39">
        <f t="shared" si="44"/>
        <v>34</v>
      </c>
      <c r="L33" s="39">
        <f t="shared" si="44"/>
        <v>35</v>
      </c>
      <c r="M33" s="39">
        <f t="shared" si="44"/>
        <v>36</v>
      </c>
      <c r="N33" s="39">
        <f>+M33</f>
        <v>36</v>
      </c>
      <c r="O33" s="39">
        <f>+M33+1</f>
        <v>37</v>
      </c>
      <c r="P33" s="39">
        <f t="shared" ref="P33:Z33" si="45">+O33+1</f>
        <v>38</v>
      </c>
      <c r="Q33" s="39">
        <f t="shared" si="45"/>
        <v>39</v>
      </c>
      <c r="R33" s="39">
        <f t="shared" si="45"/>
        <v>40</v>
      </c>
      <c r="S33" s="39">
        <f t="shared" si="45"/>
        <v>41</v>
      </c>
      <c r="T33" s="39">
        <f t="shared" si="45"/>
        <v>42</v>
      </c>
      <c r="U33" s="39">
        <f t="shared" si="45"/>
        <v>43</v>
      </c>
      <c r="V33" s="39">
        <f t="shared" si="45"/>
        <v>44</v>
      </c>
      <c r="W33" s="39">
        <f t="shared" si="45"/>
        <v>45</v>
      </c>
      <c r="X33" s="39">
        <f t="shared" si="45"/>
        <v>46</v>
      </c>
      <c r="Y33" s="39">
        <f t="shared" si="45"/>
        <v>47</v>
      </c>
      <c r="Z33" s="39">
        <f t="shared" si="45"/>
        <v>48</v>
      </c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39"/>
      <c r="AO33" s="39"/>
      <c r="AP33" s="39"/>
      <c r="AQ33" s="39"/>
      <c r="AR33" s="39"/>
      <c r="AS33" s="39"/>
      <c r="AT33" s="39"/>
      <c r="AU33" s="39"/>
      <c r="AV33" s="39"/>
      <c r="AW33" s="39"/>
      <c r="AX33" s="39"/>
      <c r="AY33" s="39"/>
      <c r="AZ33" s="39"/>
      <c r="BA33" s="39"/>
      <c r="BB33" s="39"/>
      <c r="BC33" s="39"/>
      <c r="BD33" s="39"/>
      <c r="BE33" s="39"/>
      <c r="BF33" s="39"/>
      <c r="BG33" s="39"/>
      <c r="BH33" s="39"/>
      <c r="BI33" s="39"/>
      <c r="BJ33" s="39"/>
      <c r="BK33" s="39"/>
      <c r="BL33" s="39"/>
      <c r="BM33" s="39"/>
      <c r="BN33" s="39"/>
      <c r="BO33" s="39"/>
      <c r="BP33" s="39"/>
      <c r="BQ33" s="39"/>
      <c r="BR33" s="39"/>
      <c r="BS33" s="39"/>
      <c r="BT33" s="39"/>
      <c r="BU33" s="39"/>
      <c r="BV33" s="39"/>
      <c r="BW33" s="39"/>
      <c r="BX33" s="39"/>
      <c r="BY33" s="39"/>
      <c r="BZ33" s="39"/>
      <c r="CA33" s="39"/>
      <c r="CB33" s="39"/>
      <c r="CC33" s="39"/>
      <c r="CD33" s="39"/>
      <c r="CE33" s="39"/>
      <c r="CF33" s="39"/>
      <c r="CG33" s="39"/>
    </row>
    <row r="34" spans="1:97" x14ac:dyDescent="0.2">
      <c r="A34" s="39" t="s">
        <v>188</v>
      </c>
      <c r="B34" s="39">
        <f>IF(B33&lt;$F$5,0,IF(B33=$F$5,1,IF(B33&gt;$F$5+$E$5,0,Z31+1)))</f>
        <v>21</v>
      </c>
      <c r="C34" s="39">
        <f t="shared" ref="C34:M34" si="46">IF(C33&lt;$F$5,0,IF(C33=$F$5,1,IF(C33&gt;$F$5+$E$5,0,B34+1)))</f>
        <v>22</v>
      </c>
      <c r="D34" s="39">
        <f t="shared" si="46"/>
        <v>23</v>
      </c>
      <c r="E34" s="39">
        <f t="shared" si="46"/>
        <v>24</v>
      </c>
      <c r="F34" s="39">
        <f t="shared" si="46"/>
        <v>25</v>
      </c>
      <c r="G34" s="39">
        <f t="shared" si="46"/>
        <v>26</v>
      </c>
      <c r="H34" s="39">
        <f t="shared" si="46"/>
        <v>27</v>
      </c>
      <c r="I34" s="39">
        <f t="shared" si="46"/>
        <v>28</v>
      </c>
      <c r="J34" s="39">
        <f t="shared" si="46"/>
        <v>29</v>
      </c>
      <c r="K34" s="39">
        <f t="shared" si="46"/>
        <v>30</v>
      </c>
      <c r="L34" s="39">
        <f t="shared" si="46"/>
        <v>31</v>
      </c>
      <c r="M34" s="39">
        <f t="shared" si="46"/>
        <v>32</v>
      </c>
      <c r="N34" s="39">
        <f>+M34</f>
        <v>32</v>
      </c>
      <c r="O34" s="39">
        <f t="shared" ref="O34:Z34" si="47">IF(O33&lt;$F$5,0,IF(O33=$F$5,1,IF(O33&gt;$F$5+$E$5,0,N34+1)))</f>
        <v>33</v>
      </c>
      <c r="P34" s="39">
        <f t="shared" si="47"/>
        <v>34</v>
      </c>
      <c r="Q34" s="39">
        <f t="shared" si="47"/>
        <v>35</v>
      </c>
      <c r="R34" s="39">
        <f t="shared" si="47"/>
        <v>36</v>
      </c>
      <c r="S34" s="39">
        <f t="shared" si="47"/>
        <v>37</v>
      </c>
      <c r="T34" s="39">
        <f t="shared" si="47"/>
        <v>0</v>
      </c>
      <c r="U34" s="39">
        <f t="shared" si="47"/>
        <v>0</v>
      </c>
      <c r="V34" s="39">
        <f t="shared" si="47"/>
        <v>0</v>
      </c>
      <c r="W34" s="39">
        <f t="shared" si="47"/>
        <v>0</v>
      </c>
      <c r="X34" s="39">
        <f t="shared" si="47"/>
        <v>0</v>
      </c>
      <c r="Y34" s="39">
        <f t="shared" si="47"/>
        <v>0</v>
      </c>
      <c r="Z34" s="39">
        <f t="shared" si="47"/>
        <v>0</v>
      </c>
      <c r="AA34" s="39"/>
      <c r="AB34" s="39"/>
      <c r="AC34" s="39"/>
      <c r="AD34" s="39"/>
      <c r="AE34" s="39"/>
      <c r="AF34" s="39"/>
      <c r="AG34" s="39"/>
      <c r="AH34" s="39"/>
      <c r="AI34" s="39"/>
      <c r="AJ34" s="39"/>
      <c r="AK34" s="39"/>
      <c r="AL34" s="39"/>
      <c r="AM34" s="39"/>
      <c r="AN34" s="39"/>
      <c r="AO34" s="39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P34" s="39"/>
      <c r="BQ34" s="39"/>
      <c r="BR34" s="39"/>
      <c r="BS34" s="39"/>
      <c r="BT34" s="39"/>
      <c r="BU34" s="39"/>
      <c r="BV34" s="39"/>
      <c r="BW34" s="39"/>
      <c r="BX34" s="39"/>
      <c r="BY34" s="39"/>
      <c r="BZ34" s="39"/>
      <c r="CA34" s="39"/>
      <c r="CB34" s="39"/>
      <c r="CC34" s="39"/>
      <c r="CD34" s="39"/>
      <c r="CE34" s="39"/>
      <c r="CF34" s="39"/>
      <c r="CG34" s="39"/>
    </row>
    <row r="35" spans="1:97" x14ac:dyDescent="0.2">
      <c r="A35" s="39"/>
      <c r="B35" s="39"/>
      <c r="C35" s="39"/>
      <c r="D35" s="39"/>
      <c r="E35" s="57"/>
      <c r="F35" s="57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39"/>
      <c r="AD35" s="39"/>
      <c r="AE35" s="39"/>
      <c r="AF35" s="39"/>
      <c r="AG35" s="39"/>
      <c r="AH35" s="39"/>
      <c r="AI35" s="39"/>
      <c r="AJ35" s="39"/>
      <c r="AK35" s="39"/>
      <c r="AL35" s="39"/>
      <c r="AM35" s="39"/>
      <c r="AN35" s="39"/>
      <c r="AO35" s="39"/>
      <c r="AP35" s="39"/>
      <c r="AQ35" s="39"/>
      <c r="AR35" s="39"/>
      <c r="AS35" s="39"/>
      <c r="AT35" s="39"/>
      <c r="AU35" s="39"/>
      <c r="AV35" s="39"/>
      <c r="AW35" s="39"/>
      <c r="AX35" s="39"/>
      <c r="AY35" s="39"/>
      <c r="AZ35" s="39"/>
      <c r="BA35" s="39"/>
      <c r="BB35" s="39"/>
      <c r="BC35" s="39"/>
      <c r="BD35" s="39"/>
      <c r="BE35" s="39"/>
      <c r="BF35" s="39"/>
      <c r="BG35" s="39"/>
      <c r="BH35" s="39"/>
      <c r="BI35" s="39"/>
      <c r="BJ35" s="39"/>
      <c r="BK35" s="39"/>
      <c r="BL35" s="39"/>
      <c r="BM35" s="39"/>
      <c r="BN35" s="39"/>
      <c r="BO35" s="39"/>
      <c r="BP35" s="39"/>
      <c r="BQ35" s="39"/>
      <c r="BR35" s="39"/>
      <c r="BS35" s="39"/>
      <c r="BT35" s="39"/>
      <c r="BU35" s="39"/>
      <c r="BV35" s="39"/>
      <c r="BW35" s="39"/>
      <c r="BX35" s="39"/>
      <c r="BY35" s="39"/>
      <c r="BZ35" s="39"/>
      <c r="CA35" s="39"/>
      <c r="CB35" s="39"/>
      <c r="CC35" s="39"/>
      <c r="CD35" s="39"/>
      <c r="CE35" s="39"/>
      <c r="CF35" s="39"/>
      <c r="CG35" s="39"/>
    </row>
    <row r="36" spans="1:97" x14ac:dyDescent="0.2">
      <c r="A36" s="39" t="str">
        <f>+A33</f>
        <v>Numero del mes</v>
      </c>
      <c r="B36" s="39">
        <f>+Z33+1</f>
        <v>49</v>
      </c>
      <c r="C36" s="39">
        <f t="shared" ref="C36:M36" si="48">+B36+1</f>
        <v>50</v>
      </c>
      <c r="D36" s="39">
        <f t="shared" si="48"/>
        <v>51</v>
      </c>
      <c r="E36" s="39">
        <f t="shared" si="48"/>
        <v>52</v>
      </c>
      <c r="F36" s="39">
        <f t="shared" si="48"/>
        <v>53</v>
      </c>
      <c r="G36" s="39">
        <f t="shared" si="48"/>
        <v>54</v>
      </c>
      <c r="H36" s="39">
        <f t="shared" si="48"/>
        <v>55</v>
      </c>
      <c r="I36" s="39">
        <f t="shared" si="48"/>
        <v>56</v>
      </c>
      <c r="J36" s="39">
        <f t="shared" si="48"/>
        <v>57</v>
      </c>
      <c r="K36" s="39">
        <f t="shared" si="48"/>
        <v>58</v>
      </c>
      <c r="L36" s="39">
        <f t="shared" si="48"/>
        <v>59</v>
      </c>
      <c r="M36" s="39">
        <f t="shared" si="48"/>
        <v>60</v>
      </c>
      <c r="N36" s="39">
        <f>+M36</f>
        <v>60</v>
      </c>
      <c r="O36" s="39">
        <f>+M36+1</f>
        <v>61</v>
      </c>
      <c r="P36" s="39">
        <f t="shared" ref="P36:Z36" si="49">+O36+1</f>
        <v>62</v>
      </c>
      <c r="Q36" s="39">
        <f t="shared" si="49"/>
        <v>63</v>
      </c>
      <c r="R36" s="39">
        <f t="shared" si="49"/>
        <v>64</v>
      </c>
      <c r="S36" s="39">
        <f t="shared" si="49"/>
        <v>65</v>
      </c>
      <c r="T36" s="39">
        <f t="shared" si="49"/>
        <v>66</v>
      </c>
      <c r="U36" s="39">
        <f t="shared" si="49"/>
        <v>67</v>
      </c>
      <c r="V36" s="39">
        <f t="shared" si="49"/>
        <v>68</v>
      </c>
      <c r="W36" s="39">
        <f t="shared" si="49"/>
        <v>69</v>
      </c>
      <c r="X36" s="39">
        <f t="shared" si="49"/>
        <v>70</v>
      </c>
      <c r="Y36" s="39">
        <f t="shared" si="49"/>
        <v>71</v>
      </c>
      <c r="Z36" s="39">
        <f t="shared" si="49"/>
        <v>72</v>
      </c>
      <c r="AA36" s="39"/>
      <c r="AB36" s="39"/>
      <c r="AC36" s="39"/>
      <c r="AD36" s="39"/>
      <c r="AE36" s="39"/>
      <c r="AF36" s="39"/>
      <c r="AG36" s="39"/>
      <c r="AH36" s="39"/>
      <c r="AI36" s="39"/>
      <c r="AJ36" s="39"/>
      <c r="AK36" s="39"/>
      <c r="AL36" s="39"/>
      <c r="AM36" s="39"/>
      <c r="AN36" s="39"/>
      <c r="AO36" s="39"/>
      <c r="AP36" s="39"/>
      <c r="AQ36" s="39"/>
      <c r="AR36" s="39"/>
      <c r="AS36" s="39"/>
      <c r="AT36" s="39"/>
      <c r="AU36" s="39"/>
      <c r="AV36" s="39"/>
      <c r="AW36" s="39"/>
      <c r="AX36" s="39"/>
      <c r="AY36" s="39"/>
      <c r="AZ36" s="39"/>
      <c r="BA36" s="39"/>
      <c r="BB36" s="39"/>
      <c r="BC36" s="39"/>
      <c r="BD36" s="39"/>
      <c r="BE36" s="39"/>
      <c r="BF36" s="39"/>
      <c r="BG36" s="39"/>
      <c r="BH36" s="39"/>
      <c r="BI36" s="39"/>
      <c r="BJ36" s="39"/>
      <c r="BK36" s="39"/>
      <c r="BL36" s="39"/>
      <c r="BM36" s="39"/>
      <c r="BN36" s="39"/>
      <c r="BO36" s="39"/>
      <c r="BP36" s="39"/>
      <c r="BQ36" s="39"/>
      <c r="BR36" s="39"/>
      <c r="BS36" s="39"/>
      <c r="BT36" s="39"/>
      <c r="BU36" s="39"/>
      <c r="BV36" s="39"/>
      <c r="BW36" s="39"/>
      <c r="BX36" s="39"/>
      <c r="BY36" s="39"/>
      <c r="BZ36" s="39"/>
      <c r="CA36" s="39"/>
      <c r="CB36" s="39"/>
      <c r="CC36" s="39"/>
      <c r="CD36" s="39"/>
      <c r="CE36" s="39"/>
      <c r="CF36" s="39"/>
      <c r="CG36" s="39"/>
    </row>
    <row r="37" spans="1:97" x14ac:dyDescent="0.2">
      <c r="A37" s="39" t="s">
        <v>188</v>
      </c>
      <c r="B37" s="39">
        <f>IF(B36&lt;$F$5,0,IF(B36=$F$5,1,IF(B36&gt;$F$5+$E$5,0,Z34+1)))</f>
        <v>0</v>
      </c>
      <c r="C37" s="39">
        <f t="shared" ref="C37:M37" si="50">IF(C36&lt;$F$5,0,IF(C36=$F$5,1,IF(C36&gt;$F$5+$E$5,0,B37+1)))</f>
        <v>0</v>
      </c>
      <c r="D37" s="39">
        <f t="shared" si="50"/>
        <v>0</v>
      </c>
      <c r="E37" s="39">
        <f t="shared" si="50"/>
        <v>0</v>
      </c>
      <c r="F37" s="39">
        <f t="shared" si="50"/>
        <v>0</v>
      </c>
      <c r="G37" s="39">
        <f t="shared" si="50"/>
        <v>0</v>
      </c>
      <c r="H37" s="39">
        <f t="shared" si="50"/>
        <v>0</v>
      </c>
      <c r="I37" s="39">
        <f t="shared" si="50"/>
        <v>0</v>
      </c>
      <c r="J37" s="39">
        <f t="shared" si="50"/>
        <v>0</v>
      </c>
      <c r="K37" s="39">
        <f t="shared" si="50"/>
        <v>0</v>
      </c>
      <c r="L37" s="39">
        <f t="shared" si="50"/>
        <v>0</v>
      </c>
      <c r="M37" s="39">
        <f t="shared" si="50"/>
        <v>0</v>
      </c>
      <c r="N37" s="39">
        <f>+M37</f>
        <v>0</v>
      </c>
      <c r="O37" s="39">
        <f t="shared" ref="O37:Z37" si="51">IF(O36&lt;$F$5,0,IF(O36=$F$5,1,IF(O36&gt;$F$5+$E$5,0,N37+1)))</f>
        <v>0</v>
      </c>
      <c r="P37" s="39">
        <f t="shared" si="51"/>
        <v>0</v>
      </c>
      <c r="Q37" s="39">
        <f t="shared" si="51"/>
        <v>0</v>
      </c>
      <c r="R37" s="39">
        <f t="shared" si="51"/>
        <v>0</v>
      </c>
      <c r="S37" s="39">
        <f t="shared" si="51"/>
        <v>0</v>
      </c>
      <c r="T37" s="39">
        <f t="shared" si="51"/>
        <v>0</v>
      </c>
      <c r="U37" s="39">
        <f t="shared" si="51"/>
        <v>0</v>
      </c>
      <c r="V37" s="39">
        <f t="shared" si="51"/>
        <v>0</v>
      </c>
      <c r="W37" s="39">
        <f t="shared" si="51"/>
        <v>0</v>
      </c>
      <c r="X37" s="39">
        <f t="shared" si="51"/>
        <v>0</v>
      </c>
      <c r="Y37" s="39">
        <f t="shared" si="51"/>
        <v>0</v>
      </c>
      <c r="Z37" s="39">
        <f t="shared" si="51"/>
        <v>0</v>
      </c>
      <c r="AA37" s="39"/>
      <c r="AB37" s="39"/>
      <c r="AC37" s="39"/>
      <c r="AD37" s="39"/>
      <c r="AE37" s="39"/>
      <c r="AF37" s="39"/>
      <c r="AG37" s="39"/>
      <c r="AH37" s="39"/>
      <c r="AI37" s="39"/>
      <c r="AJ37" s="39"/>
      <c r="AK37" s="39"/>
      <c r="AL37" s="39"/>
      <c r="AM37" s="39"/>
      <c r="AN37" s="39"/>
      <c r="AO37" s="39"/>
      <c r="AP37" s="39"/>
      <c r="AQ37" s="39"/>
      <c r="AR37" s="39"/>
      <c r="AS37" s="39"/>
      <c r="AT37" s="39"/>
      <c r="AU37" s="39"/>
      <c r="AV37" s="39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  <c r="BM37" s="39"/>
      <c r="BN37" s="39"/>
      <c r="BO37" s="39"/>
      <c r="BP37" s="39"/>
      <c r="BQ37" s="39"/>
      <c r="BR37" s="39"/>
      <c r="BS37" s="39"/>
      <c r="BT37" s="39"/>
      <c r="BU37" s="39"/>
      <c r="BV37" s="39"/>
      <c r="BW37" s="39"/>
      <c r="BX37" s="39"/>
      <c r="BY37" s="39"/>
      <c r="BZ37" s="39"/>
      <c r="CA37" s="39"/>
      <c r="CB37" s="39"/>
      <c r="CC37" s="39"/>
      <c r="CD37" s="39"/>
      <c r="CE37" s="39"/>
      <c r="CF37" s="39"/>
      <c r="CG37" s="39"/>
    </row>
    <row r="38" spans="1:97" x14ac:dyDescent="0.2">
      <c r="A38" s="39"/>
      <c r="B38" s="39"/>
      <c r="C38" s="39"/>
      <c r="D38" s="39"/>
      <c r="E38" s="57"/>
      <c r="F38" s="57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39"/>
      <c r="AJ38" s="39"/>
      <c r="AK38" s="39"/>
      <c r="AL38" s="39"/>
      <c r="AM38" s="39"/>
      <c r="AN38" s="39"/>
      <c r="AO38" s="39"/>
      <c r="AP38" s="39"/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  <c r="BP38" s="39"/>
      <c r="BQ38" s="39"/>
      <c r="BR38" s="39"/>
      <c r="BS38" s="39"/>
      <c r="BT38" s="39"/>
      <c r="BU38" s="39"/>
      <c r="BV38" s="39"/>
      <c r="BW38" s="39"/>
      <c r="BX38" s="39"/>
      <c r="BY38" s="39"/>
      <c r="BZ38" s="39"/>
      <c r="CA38" s="39"/>
      <c r="CB38" s="39"/>
      <c r="CC38" s="39"/>
      <c r="CD38" s="39"/>
      <c r="CE38" s="39"/>
      <c r="CF38" s="39"/>
      <c r="CG38" s="39"/>
    </row>
    <row r="39" spans="1:97" ht="15" x14ac:dyDescent="0.3">
      <c r="A39" s="39"/>
      <c r="B39" s="60">
        <v>40909</v>
      </c>
      <c r="C39" s="60">
        <f>B39+31</f>
        <v>40940</v>
      </c>
      <c r="D39" s="60">
        <f>C39+29</f>
        <v>40969</v>
      </c>
      <c r="E39" s="60">
        <f t="shared" ref="E39:L39" si="52">D39+31</f>
        <v>41000</v>
      </c>
      <c r="F39" s="60">
        <f>E39+30</f>
        <v>41030</v>
      </c>
      <c r="G39" s="60">
        <f t="shared" si="52"/>
        <v>41061</v>
      </c>
      <c r="H39" s="60">
        <f>G39+30</f>
        <v>41091</v>
      </c>
      <c r="I39" s="60">
        <f t="shared" si="52"/>
        <v>41122</v>
      </c>
      <c r="J39" s="60">
        <f t="shared" si="52"/>
        <v>41153</v>
      </c>
      <c r="K39" s="60">
        <f>J39+30</f>
        <v>41183</v>
      </c>
      <c r="L39" s="60">
        <f t="shared" si="52"/>
        <v>41214</v>
      </c>
      <c r="M39" s="61">
        <f>L39+30</f>
        <v>41244</v>
      </c>
      <c r="N39" s="39"/>
      <c r="O39" s="61">
        <f>M39+31</f>
        <v>41275</v>
      </c>
      <c r="P39" s="61">
        <f>O39+31</f>
        <v>41306</v>
      </c>
      <c r="Q39" s="61">
        <f>P39+28</f>
        <v>41334</v>
      </c>
      <c r="R39" s="61">
        <f t="shared" ref="R39:Y39" si="53">Q39+31</f>
        <v>41365</v>
      </c>
      <c r="S39" s="61">
        <f>R39+30</f>
        <v>41395</v>
      </c>
      <c r="T39" s="61">
        <f t="shared" si="53"/>
        <v>41426</v>
      </c>
      <c r="U39" s="61">
        <f>T39+30</f>
        <v>41456</v>
      </c>
      <c r="V39" s="61">
        <f t="shared" si="53"/>
        <v>41487</v>
      </c>
      <c r="W39" s="61">
        <f t="shared" si="53"/>
        <v>41518</v>
      </c>
      <c r="X39" s="61">
        <f>W39+30</f>
        <v>41548</v>
      </c>
      <c r="Y39" s="61">
        <f t="shared" si="53"/>
        <v>41579</v>
      </c>
      <c r="Z39" s="61">
        <f>Y39+30</f>
        <v>41609</v>
      </c>
      <c r="AA39" s="39"/>
      <c r="AB39" s="39"/>
      <c r="AC39" s="39"/>
      <c r="AD39" s="39"/>
      <c r="AE39" s="39"/>
      <c r="AF39" s="39"/>
      <c r="AG39" s="39"/>
      <c r="AH39" s="39"/>
      <c r="AI39" s="39"/>
      <c r="AJ39" s="39"/>
      <c r="AK39" s="39"/>
      <c r="AL39" s="61">
        <f>Z39+31</f>
        <v>41640</v>
      </c>
      <c r="AM39" s="61">
        <f>AL39+31</f>
        <v>41671</v>
      </c>
      <c r="AN39" s="61">
        <f>AM39+29</f>
        <v>41700</v>
      </c>
      <c r="AO39" s="61">
        <f t="shared" ref="AO39:AX39" si="54">AN39+31</f>
        <v>41731</v>
      </c>
      <c r="AP39" s="61">
        <f>AO39+30</f>
        <v>41761</v>
      </c>
      <c r="AQ39" s="61">
        <f t="shared" si="54"/>
        <v>41792</v>
      </c>
      <c r="AR39" s="61">
        <f>AQ39+30</f>
        <v>41822</v>
      </c>
      <c r="AS39" s="61">
        <f t="shared" si="54"/>
        <v>41853</v>
      </c>
      <c r="AT39" s="61">
        <f t="shared" si="54"/>
        <v>41884</v>
      </c>
      <c r="AU39" s="61">
        <f>AT39+30</f>
        <v>41914</v>
      </c>
      <c r="AV39" s="61">
        <f t="shared" si="54"/>
        <v>41945</v>
      </c>
      <c r="AW39" s="61">
        <f>AV39+30</f>
        <v>41975</v>
      </c>
      <c r="AX39" s="61">
        <f t="shared" si="54"/>
        <v>42006</v>
      </c>
      <c r="AY39" s="61">
        <f>AX39+31</f>
        <v>42037</v>
      </c>
      <c r="AZ39" s="61">
        <f>AY39+28</f>
        <v>42065</v>
      </c>
      <c r="BA39" s="61">
        <f t="shared" ref="BA39:BJ39" si="55">AZ39+31</f>
        <v>42096</v>
      </c>
      <c r="BB39" s="61">
        <f>BA39+30</f>
        <v>42126</v>
      </c>
      <c r="BC39" s="61">
        <f t="shared" si="55"/>
        <v>42157</v>
      </c>
      <c r="BD39" s="61">
        <f>BC39+30</f>
        <v>42187</v>
      </c>
      <c r="BE39" s="61">
        <f t="shared" si="55"/>
        <v>42218</v>
      </c>
      <c r="BF39" s="61">
        <f t="shared" si="55"/>
        <v>42249</v>
      </c>
      <c r="BG39" s="61">
        <f>BF39+30</f>
        <v>42279</v>
      </c>
      <c r="BH39" s="61">
        <f t="shared" si="55"/>
        <v>42310</v>
      </c>
      <c r="BI39" s="61">
        <f>BH39+30</f>
        <v>42340</v>
      </c>
      <c r="BJ39" s="61">
        <f t="shared" si="55"/>
        <v>42371</v>
      </c>
      <c r="BK39" s="61">
        <f>BJ39+31</f>
        <v>42402</v>
      </c>
      <c r="BL39" s="61">
        <f>BK39+29</f>
        <v>42431</v>
      </c>
      <c r="BM39" s="61">
        <f t="shared" ref="BM39:BV39" si="56">BL39+31</f>
        <v>42462</v>
      </c>
      <c r="BN39" s="61">
        <f>BM39+30</f>
        <v>42492</v>
      </c>
      <c r="BO39" s="61">
        <f t="shared" si="56"/>
        <v>42523</v>
      </c>
      <c r="BP39" s="61">
        <f>BO39+30</f>
        <v>42553</v>
      </c>
      <c r="BQ39" s="61">
        <f t="shared" si="56"/>
        <v>42584</v>
      </c>
      <c r="BR39" s="61">
        <f t="shared" si="56"/>
        <v>42615</v>
      </c>
      <c r="BS39" s="61">
        <f>BR39+30</f>
        <v>42645</v>
      </c>
      <c r="BT39" s="61">
        <f t="shared" si="56"/>
        <v>42676</v>
      </c>
      <c r="BU39" s="61">
        <f>BT39+30</f>
        <v>42706</v>
      </c>
      <c r="BV39" s="61">
        <f t="shared" si="56"/>
        <v>42737</v>
      </c>
      <c r="BW39" s="61">
        <f>BV39+31</f>
        <v>42768</v>
      </c>
      <c r="BX39" s="61">
        <f>BW39+28</f>
        <v>42796</v>
      </c>
      <c r="BY39" s="61">
        <f>BX39+31</f>
        <v>42827</v>
      </c>
      <c r="BZ39" s="61">
        <f>BY39+30</f>
        <v>42857</v>
      </c>
      <c r="CA39" s="61">
        <f>BZ39+31</f>
        <v>42888</v>
      </c>
      <c r="CB39" s="61">
        <f>CA39+30</f>
        <v>42918</v>
      </c>
      <c r="CC39" s="61">
        <f>CB39+31</f>
        <v>42949</v>
      </c>
      <c r="CD39" s="61">
        <f>CC39+31</f>
        <v>42980</v>
      </c>
      <c r="CE39" s="61">
        <f>CD39+30</f>
        <v>43010</v>
      </c>
      <c r="CF39" s="61">
        <f>CE39+31</f>
        <v>43041</v>
      </c>
      <c r="CG39" s="61">
        <f>CF39+30</f>
        <v>43071</v>
      </c>
      <c r="CH39" s="61">
        <f t="shared" ref="CH39" si="57">CG39+31</f>
        <v>43102</v>
      </c>
      <c r="CI39" s="61">
        <f>CH39+31</f>
        <v>43133</v>
      </c>
      <c r="CJ39" s="61">
        <f>CI39+28</f>
        <v>43161</v>
      </c>
      <c r="CK39" s="61">
        <f>CJ39+31</f>
        <v>43192</v>
      </c>
      <c r="CL39" s="61">
        <f>CK39+30</f>
        <v>43222</v>
      </c>
      <c r="CM39" s="61">
        <f>CL39+31</f>
        <v>43253</v>
      </c>
      <c r="CN39" s="61">
        <f>CM39+30</f>
        <v>43283</v>
      </c>
      <c r="CO39" s="61">
        <f>CN39+31</f>
        <v>43314</v>
      </c>
      <c r="CP39" s="61">
        <f>CO39+31</f>
        <v>43345</v>
      </c>
      <c r="CQ39" s="61">
        <f>CP39+30</f>
        <v>43375</v>
      </c>
      <c r="CR39" s="61">
        <f>CQ39+31</f>
        <v>43406</v>
      </c>
      <c r="CS39" s="61">
        <f>CR39+30</f>
        <v>43436</v>
      </c>
    </row>
    <row r="40" spans="1:97" ht="15" x14ac:dyDescent="0.3">
      <c r="A40" s="39"/>
      <c r="B40" s="62">
        <v>1</v>
      </c>
      <c r="C40" s="62">
        <f>+B40+1</f>
        <v>2</v>
      </c>
      <c r="D40" s="62">
        <f t="shared" ref="D40:M40" si="58">+C40+1</f>
        <v>3</v>
      </c>
      <c r="E40" s="62">
        <f t="shared" si="58"/>
        <v>4</v>
      </c>
      <c r="F40" s="62">
        <f t="shared" si="58"/>
        <v>5</v>
      </c>
      <c r="G40" s="62">
        <f t="shared" si="58"/>
        <v>6</v>
      </c>
      <c r="H40" s="62">
        <f t="shared" si="58"/>
        <v>7</v>
      </c>
      <c r="I40" s="62">
        <f t="shared" si="58"/>
        <v>8</v>
      </c>
      <c r="J40" s="62">
        <f t="shared" si="58"/>
        <v>9</v>
      </c>
      <c r="K40" s="62">
        <f t="shared" si="58"/>
        <v>10</v>
      </c>
      <c r="L40" s="62">
        <f t="shared" si="58"/>
        <v>11</v>
      </c>
      <c r="M40" s="63">
        <f t="shared" si="58"/>
        <v>12</v>
      </c>
      <c r="N40" s="39"/>
      <c r="O40" s="63">
        <f>+M40+1</f>
        <v>13</v>
      </c>
      <c r="P40" s="63">
        <f t="shared" ref="P40:Z40" si="59">+O40+1</f>
        <v>14</v>
      </c>
      <c r="Q40" s="63">
        <f t="shared" si="59"/>
        <v>15</v>
      </c>
      <c r="R40" s="63">
        <f t="shared" si="59"/>
        <v>16</v>
      </c>
      <c r="S40" s="63">
        <f t="shared" si="59"/>
        <v>17</v>
      </c>
      <c r="T40" s="63">
        <f t="shared" si="59"/>
        <v>18</v>
      </c>
      <c r="U40" s="63">
        <f t="shared" si="59"/>
        <v>19</v>
      </c>
      <c r="V40" s="63">
        <f t="shared" si="59"/>
        <v>20</v>
      </c>
      <c r="W40" s="63">
        <f t="shared" si="59"/>
        <v>21</v>
      </c>
      <c r="X40" s="63">
        <f t="shared" si="59"/>
        <v>22</v>
      </c>
      <c r="Y40" s="63">
        <f t="shared" si="59"/>
        <v>23</v>
      </c>
      <c r="Z40" s="63">
        <f t="shared" si="59"/>
        <v>24</v>
      </c>
      <c r="AA40" s="39"/>
      <c r="AB40" s="39"/>
      <c r="AC40" s="39"/>
      <c r="AD40" s="39"/>
      <c r="AE40" s="39"/>
      <c r="AF40" s="39"/>
      <c r="AG40" s="39"/>
      <c r="AH40" s="39"/>
      <c r="AI40" s="39"/>
      <c r="AJ40" s="39"/>
      <c r="AK40" s="39"/>
      <c r="AL40" s="63">
        <f>+Z40+1</f>
        <v>25</v>
      </c>
      <c r="AM40" s="63">
        <f t="shared" ref="AM40:CG40" si="60">+AL40+1</f>
        <v>26</v>
      </c>
      <c r="AN40" s="63">
        <f t="shared" si="60"/>
        <v>27</v>
      </c>
      <c r="AO40" s="63">
        <f t="shared" si="60"/>
        <v>28</v>
      </c>
      <c r="AP40" s="63">
        <f t="shared" si="60"/>
        <v>29</v>
      </c>
      <c r="AQ40" s="63">
        <f t="shared" si="60"/>
        <v>30</v>
      </c>
      <c r="AR40" s="63">
        <f t="shared" si="60"/>
        <v>31</v>
      </c>
      <c r="AS40" s="63">
        <f t="shared" si="60"/>
        <v>32</v>
      </c>
      <c r="AT40" s="63">
        <f t="shared" si="60"/>
        <v>33</v>
      </c>
      <c r="AU40" s="63">
        <f t="shared" si="60"/>
        <v>34</v>
      </c>
      <c r="AV40" s="63">
        <f t="shared" si="60"/>
        <v>35</v>
      </c>
      <c r="AW40" s="63">
        <f t="shared" si="60"/>
        <v>36</v>
      </c>
      <c r="AX40" s="63">
        <f t="shared" si="60"/>
        <v>37</v>
      </c>
      <c r="AY40" s="63">
        <f t="shared" si="60"/>
        <v>38</v>
      </c>
      <c r="AZ40" s="63">
        <f t="shared" si="60"/>
        <v>39</v>
      </c>
      <c r="BA40" s="63">
        <f t="shared" si="60"/>
        <v>40</v>
      </c>
      <c r="BB40" s="63">
        <f t="shared" si="60"/>
        <v>41</v>
      </c>
      <c r="BC40" s="63">
        <f t="shared" si="60"/>
        <v>42</v>
      </c>
      <c r="BD40" s="63">
        <f t="shared" si="60"/>
        <v>43</v>
      </c>
      <c r="BE40" s="63">
        <f t="shared" si="60"/>
        <v>44</v>
      </c>
      <c r="BF40" s="63">
        <f t="shared" si="60"/>
        <v>45</v>
      </c>
      <c r="BG40" s="63">
        <f t="shared" si="60"/>
        <v>46</v>
      </c>
      <c r="BH40" s="63">
        <f t="shared" si="60"/>
        <v>47</v>
      </c>
      <c r="BI40" s="63">
        <f t="shared" si="60"/>
        <v>48</v>
      </c>
      <c r="BJ40" s="63">
        <f t="shared" si="60"/>
        <v>49</v>
      </c>
      <c r="BK40" s="63">
        <f t="shared" si="60"/>
        <v>50</v>
      </c>
      <c r="BL40" s="63">
        <f t="shared" si="60"/>
        <v>51</v>
      </c>
      <c r="BM40" s="63">
        <f t="shared" si="60"/>
        <v>52</v>
      </c>
      <c r="BN40" s="63">
        <f t="shared" si="60"/>
        <v>53</v>
      </c>
      <c r="BO40" s="63">
        <f t="shared" si="60"/>
        <v>54</v>
      </c>
      <c r="BP40" s="63">
        <f t="shared" si="60"/>
        <v>55</v>
      </c>
      <c r="BQ40" s="63">
        <f t="shared" si="60"/>
        <v>56</v>
      </c>
      <c r="BR40" s="63">
        <f t="shared" si="60"/>
        <v>57</v>
      </c>
      <c r="BS40" s="63">
        <f t="shared" si="60"/>
        <v>58</v>
      </c>
      <c r="BT40" s="63">
        <f t="shared" si="60"/>
        <v>59</v>
      </c>
      <c r="BU40" s="63">
        <f t="shared" si="60"/>
        <v>60</v>
      </c>
      <c r="BV40" s="63">
        <f t="shared" si="60"/>
        <v>61</v>
      </c>
      <c r="BW40" s="63">
        <f t="shared" si="60"/>
        <v>62</v>
      </c>
      <c r="BX40" s="63">
        <f t="shared" si="60"/>
        <v>63</v>
      </c>
      <c r="BY40" s="63">
        <f t="shared" si="60"/>
        <v>64</v>
      </c>
      <c r="BZ40" s="63">
        <f t="shared" si="60"/>
        <v>65</v>
      </c>
      <c r="CA40" s="63">
        <f t="shared" si="60"/>
        <v>66</v>
      </c>
      <c r="CB40" s="63">
        <f t="shared" si="60"/>
        <v>67</v>
      </c>
      <c r="CC40" s="63">
        <f t="shared" si="60"/>
        <v>68</v>
      </c>
      <c r="CD40" s="63">
        <f t="shared" si="60"/>
        <v>69</v>
      </c>
      <c r="CE40" s="63">
        <f t="shared" si="60"/>
        <v>70</v>
      </c>
      <c r="CF40" s="63">
        <f t="shared" si="60"/>
        <v>71</v>
      </c>
      <c r="CG40" s="63">
        <f t="shared" si="60"/>
        <v>72</v>
      </c>
      <c r="CH40" s="63">
        <f t="shared" ref="CH40" si="61">+CG40+1</f>
        <v>73</v>
      </c>
      <c r="CI40" s="63">
        <f t="shared" ref="CI40" si="62">+CH40+1</f>
        <v>74</v>
      </c>
      <c r="CJ40" s="63">
        <f t="shared" ref="CJ40" si="63">+CI40+1</f>
        <v>75</v>
      </c>
      <c r="CK40" s="63">
        <f t="shared" ref="CK40" si="64">+CJ40+1</f>
        <v>76</v>
      </c>
      <c r="CL40" s="63">
        <f t="shared" ref="CL40" si="65">+CK40+1</f>
        <v>77</v>
      </c>
      <c r="CM40" s="63">
        <f t="shared" ref="CM40" si="66">+CL40+1</f>
        <v>78</v>
      </c>
      <c r="CN40" s="63">
        <f t="shared" ref="CN40" si="67">+CM40+1</f>
        <v>79</v>
      </c>
      <c r="CO40" s="63">
        <f t="shared" ref="CO40" si="68">+CN40+1</f>
        <v>80</v>
      </c>
      <c r="CP40" s="63">
        <f t="shared" ref="CP40" si="69">+CO40+1</f>
        <v>81</v>
      </c>
      <c r="CQ40" s="63">
        <f t="shared" ref="CQ40" si="70">+CP40+1</f>
        <v>82</v>
      </c>
      <c r="CR40" s="63">
        <f t="shared" ref="CR40" si="71">+CQ40+1</f>
        <v>83</v>
      </c>
      <c r="CS40" s="63">
        <f t="shared" ref="CS40" si="72">+CR40+1</f>
        <v>84</v>
      </c>
    </row>
    <row r="41" spans="1:97" x14ac:dyDescent="0.2">
      <c r="A41" s="39"/>
      <c r="B41" s="33">
        <f t="shared" ref="B41:M41" si="73">B10</f>
        <v>0</v>
      </c>
      <c r="C41" s="33">
        <f t="shared" si="73"/>
        <v>0</v>
      </c>
      <c r="D41" s="33">
        <f t="shared" si="73"/>
        <v>0</v>
      </c>
      <c r="E41" s="33">
        <f t="shared" si="73"/>
        <v>0</v>
      </c>
      <c r="F41" s="33">
        <f t="shared" si="73"/>
        <v>0</v>
      </c>
      <c r="G41" s="33">
        <f t="shared" si="73"/>
        <v>0</v>
      </c>
      <c r="H41" s="33">
        <f t="shared" si="73"/>
        <v>0</v>
      </c>
      <c r="I41" s="33">
        <f t="shared" si="73"/>
        <v>0</v>
      </c>
      <c r="J41" s="33">
        <f t="shared" si="73"/>
        <v>1515.1515151515152</v>
      </c>
      <c r="K41" s="33">
        <f t="shared" si="73"/>
        <v>1515.1515151515152</v>
      </c>
      <c r="L41" s="33">
        <f t="shared" si="73"/>
        <v>1515.1515151515152</v>
      </c>
      <c r="M41" s="33">
        <f t="shared" si="73"/>
        <v>1515.1515151515152</v>
      </c>
      <c r="N41" s="39"/>
      <c r="O41" s="33">
        <f t="shared" ref="O41:Z41" si="74">O10</f>
        <v>1515.1515151515152</v>
      </c>
      <c r="P41" s="33">
        <f t="shared" si="74"/>
        <v>1515.1515151515152</v>
      </c>
      <c r="Q41" s="33">
        <f t="shared" si="74"/>
        <v>1515.1515151515152</v>
      </c>
      <c r="R41" s="33">
        <f t="shared" si="74"/>
        <v>1515.1515151515152</v>
      </c>
      <c r="S41" s="33">
        <f t="shared" si="74"/>
        <v>1515.1515151515152</v>
      </c>
      <c r="T41" s="33">
        <f t="shared" si="74"/>
        <v>1515.1515151515152</v>
      </c>
      <c r="U41" s="33">
        <f t="shared" si="74"/>
        <v>1515.1515151515152</v>
      </c>
      <c r="V41" s="33">
        <f t="shared" si="74"/>
        <v>1515.1515151515152</v>
      </c>
      <c r="W41" s="33">
        <f t="shared" si="74"/>
        <v>1515.1515151515152</v>
      </c>
      <c r="X41" s="33">
        <f t="shared" si="74"/>
        <v>1515.1515151515152</v>
      </c>
      <c r="Y41" s="33">
        <f t="shared" si="74"/>
        <v>1515.1515151515152</v>
      </c>
      <c r="Z41" s="33">
        <f t="shared" si="74"/>
        <v>1515.1515151515152</v>
      </c>
      <c r="AA41" s="39"/>
      <c r="AB41" s="39"/>
      <c r="AC41" s="39"/>
      <c r="AD41" s="39"/>
      <c r="AE41" s="39"/>
      <c r="AF41" s="39"/>
      <c r="AG41" s="39"/>
      <c r="AH41" s="39"/>
      <c r="AI41" s="39"/>
      <c r="AJ41" s="39"/>
      <c r="AK41" s="39"/>
      <c r="AL41" s="33">
        <f t="shared" ref="AL41:AW41" si="75">B18</f>
        <v>1515.1515151515152</v>
      </c>
      <c r="AM41" s="33">
        <f t="shared" si="75"/>
        <v>1515.1515151515152</v>
      </c>
      <c r="AN41" s="33">
        <f t="shared" si="75"/>
        <v>1515.1515151515152</v>
      </c>
      <c r="AO41" s="33">
        <f t="shared" si="75"/>
        <v>1515.1515151515152</v>
      </c>
      <c r="AP41" s="33">
        <f t="shared" si="75"/>
        <v>1515.1515151515152</v>
      </c>
      <c r="AQ41" s="33">
        <f t="shared" si="75"/>
        <v>1515.1515151515152</v>
      </c>
      <c r="AR41" s="33">
        <f t="shared" si="75"/>
        <v>1515.1515151515152</v>
      </c>
      <c r="AS41" s="33">
        <f t="shared" si="75"/>
        <v>1515.1515151515152</v>
      </c>
      <c r="AT41" s="33">
        <f t="shared" si="75"/>
        <v>1515.1515151515152</v>
      </c>
      <c r="AU41" s="33">
        <f t="shared" si="75"/>
        <v>1515.1515151515152</v>
      </c>
      <c r="AV41" s="33">
        <f t="shared" si="75"/>
        <v>1515.1515151515152</v>
      </c>
      <c r="AW41" s="33">
        <f t="shared" si="75"/>
        <v>1515.1515151515152</v>
      </c>
      <c r="AX41" s="33">
        <f t="shared" ref="AX41:BI41" si="76">O18</f>
        <v>1515.1515151515152</v>
      </c>
      <c r="AY41" s="33">
        <f t="shared" si="76"/>
        <v>1515.1515151515152</v>
      </c>
      <c r="AZ41" s="33">
        <f t="shared" si="76"/>
        <v>1515.1515151515152</v>
      </c>
      <c r="BA41" s="33">
        <f t="shared" si="76"/>
        <v>1515.1515151515152</v>
      </c>
      <c r="BB41" s="33">
        <f t="shared" si="76"/>
        <v>1515.1515151515152</v>
      </c>
      <c r="BC41" s="33">
        <f t="shared" si="76"/>
        <v>0</v>
      </c>
      <c r="BD41" s="33">
        <f t="shared" si="76"/>
        <v>0</v>
      </c>
      <c r="BE41" s="33">
        <f t="shared" si="76"/>
        <v>0</v>
      </c>
      <c r="BF41" s="33">
        <f t="shared" si="76"/>
        <v>0</v>
      </c>
      <c r="BG41" s="33">
        <f t="shared" si="76"/>
        <v>0</v>
      </c>
      <c r="BH41" s="33">
        <f t="shared" si="76"/>
        <v>0</v>
      </c>
      <c r="BI41" s="33">
        <f t="shared" si="76"/>
        <v>0</v>
      </c>
      <c r="BJ41" s="33">
        <f t="shared" ref="BJ41:BU41" si="77">B26</f>
        <v>0</v>
      </c>
      <c r="BK41" s="33">
        <f t="shared" si="77"/>
        <v>0</v>
      </c>
      <c r="BL41" s="33">
        <f t="shared" si="77"/>
        <v>0</v>
      </c>
      <c r="BM41" s="33">
        <f t="shared" si="77"/>
        <v>0</v>
      </c>
      <c r="BN41" s="33">
        <f t="shared" si="77"/>
        <v>0</v>
      </c>
      <c r="BO41" s="33">
        <f t="shared" si="77"/>
        <v>0</v>
      </c>
      <c r="BP41" s="33">
        <f t="shared" si="77"/>
        <v>0</v>
      </c>
      <c r="BQ41" s="33">
        <f t="shared" si="77"/>
        <v>0</v>
      </c>
      <c r="BR41" s="33">
        <f t="shared" si="77"/>
        <v>0</v>
      </c>
      <c r="BS41" s="33">
        <f t="shared" si="77"/>
        <v>0</v>
      </c>
      <c r="BT41" s="33">
        <f t="shared" si="77"/>
        <v>0</v>
      </c>
      <c r="BU41" s="33">
        <f t="shared" si="77"/>
        <v>0</v>
      </c>
      <c r="BV41" s="33">
        <f t="shared" ref="BV41:CG41" si="78">O26</f>
        <v>0</v>
      </c>
      <c r="BW41" s="33">
        <f t="shared" si="78"/>
        <v>0</v>
      </c>
      <c r="BX41" s="33">
        <f t="shared" si="78"/>
        <v>0</v>
      </c>
      <c r="BY41" s="33">
        <f t="shared" si="78"/>
        <v>0</v>
      </c>
      <c r="BZ41" s="33">
        <f t="shared" si="78"/>
        <v>0</v>
      </c>
      <c r="CA41" s="33">
        <f t="shared" si="78"/>
        <v>0</v>
      </c>
      <c r="CB41" s="33">
        <f t="shared" si="78"/>
        <v>0</v>
      </c>
      <c r="CC41" s="33">
        <f t="shared" si="78"/>
        <v>0</v>
      </c>
      <c r="CD41" s="33">
        <f t="shared" si="78"/>
        <v>0</v>
      </c>
      <c r="CE41" s="33">
        <f t="shared" si="78"/>
        <v>0</v>
      </c>
      <c r="CF41" s="33">
        <f t="shared" si="78"/>
        <v>0</v>
      </c>
      <c r="CG41" s="33">
        <f t="shared" si="78"/>
        <v>0</v>
      </c>
      <c r="CH41" s="33">
        <f>+B51</f>
        <v>0</v>
      </c>
      <c r="CI41" s="33">
        <f t="shared" ref="CI41:CS41" si="79">+C51</f>
        <v>0</v>
      </c>
      <c r="CJ41" s="33">
        <f t="shared" si="79"/>
        <v>0</v>
      </c>
      <c r="CK41" s="33">
        <f t="shared" si="79"/>
        <v>0</v>
      </c>
      <c r="CL41" s="33">
        <f t="shared" si="79"/>
        <v>0</v>
      </c>
      <c r="CM41" s="33">
        <f t="shared" si="79"/>
        <v>0</v>
      </c>
      <c r="CN41" s="33">
        <f t="shared" si="79"/>
        <v>0</v>
      </c>
      <c r="CO41" s="33">
        <f t="shared" si="79"/>
        <v>0</v>
      </c>
      <c r="CP41" s="33">
        <f t="shared" si="79"/>
        <v>0</v>
      </c>
      <c r="CQ41" s="33">
        <f t="shared" si="79"/>
        <v>0</v>
      </c>
      <c r="CR41" s="33">
        <f t="shared" si="79"/>
        <v>0</v>
      </c>
      <c r="CS41" s="33">
        <f t="shared" si="79"/>
        <v>0</v>
      </c>
    </row>
    <row r="42" spans="1:97" ht="15" x14ac:dyDescent="0.3">
      <c r="A42" s="42" t="s">
        <v>355</v>
      </c>
      <c r="B42" s="33">
        <f t="shared" ref="B42:L42" si="80">IF(B43&gt;0,SUM(C41:O41),0)</f>
        <v>0</v>
      </c>
      <c r="C42" s="33">
        <f t="shared" si="80"/>
        <v>0</v>
      </c>
      <c r="D42" s="33">
        <f t="shared" si="80"/>
        <v>0</v>
      </c>
      <c r="E42" s="33">
        <f t="shared" si="80"/>
        <v>0</v>
      </c>
      <c r="F42" s="33">
        <f t="shared" si="80"/>
        <v>13636.36363636364</v>
      </c>
      <c r="G42" s="33">
        <f t="shared" si="80"/>
        <v>15151.515151515156</v>
      </c>
      <c r="H42" s="33">
        <f t="shared" si="80"/>
        <v>16666.666666666672</v>
      </c>
      <c r="I42" s="33">
        <f t="shared" si="80"/>
        <v>18181.818181818187</v>
      </c>
      <c r="J42" s="33">
        <f t="shared" si="80"/>
        <v>18181.818181818187</v>
      </c>
      <c r="K42" s="33">
        <f t="shared" si="80"/>
        <v>18181.818181818187</v>
      </c>
      <c r="L42" s="33">
        <f t="shared" si="80"/>
        <v>18181.818181818187</v>
      </c>
      <c r="M42" s="33">
        <f>IF(M43&gt;0,SUM(O41:Z41),0)</f>
        <v>18181.818181818187</v>
      </c>
      <c r="N42" s="33">
        <f>+M42</f>
        <v>18181.818181818187</v>
      </c>
      <c r="O42" s="33">
        <f t="shared" ref="O42:Y42" si="81">IF(O43&gt;0,SUM(P41:AL41),0)</f>
        <v>18181.818181818187</v>
      </c>
      <c r="P42" s="33">
        <f t="shared" si="81"/>
        <v>18181.818181818187</v>
      </c>
      <c r="Q42" s="33">
        <f t="shared" si="81"/>
        <v>18181.818181818187</v>
      </c>
      <c r="R42" s="33">
        <f t="shared" si="81"/>
        <v>18181.818181818187</v>
      </c>
      <c r="S42" s="33">
        <f t="shared" si="81"/>
        <v>18181.818181818187</v>
      </c>
      <c r="T42" s="33">
        <f t="shared" si="81"/>
        <v>18181.818181818187</v>
      </c>
      <c r="U42" s="33">
        <f t="shared" si="81"/>
        <v>18181.818181818187</v>
      </c>
      <c r="V42" s="33">
        <f t="shared" si="81"/>
        <v>18181.818181818187</v>
      </c>
      <c r="W42" s="33">
        <f t="shared" si="81"/>
        <v>18181.818181818187</v>
      </c>
      <c r="X42" s="33">
        <f t="shared" si="81"/>
        <v>18181.818181818187</v>
      </c>
      <c r="Y42" s="33">
        <f t="shared" si="81"/>
        <v>18181.818181818187</v>
      </c>
      <c r="Z42" s="33">
        <f>IF(Z43&gt;0,SUM(AB41:AW41),0)</f>
        <v>18181.818181818187</v>
      </c>
      <c r="AA42" s="33">
        <f>+Z42</f>
        <v>18181.818181818187</v>
      </c>
      <c r="AB42" s="33">
        <f>+N42</f>
        <v>18181.818181818187</v>
      </c>
      <c r="AC42" s="33">
        <f>+AA42</f>
        <v>18181.818181818187</v>
      </c>
      <c r="AD42" s="33">
        <f>+AW42</f>
        <v>7575.757575757576</v>
      </c>
      <c r="AE42" s="33">
        <f>+BI42</f>
        <v>0</v>
      </c>
      <c r="AF42" s="33">
        <f>+BU42</f>
        <v>0</v>
      </c>
      <c r="AG42" s="33">
        <f>+CG42</f>
        <v>0</v>
      </c>
      <c r="AH42" s="28"/>
      <c r="AI42" s="39"/>
      <c r="AJ42" s="39"/>
      <c r="AK42" s="39"/>
      <c r="AL42" s="33">
        <f t="shared" ref="AL42:BU42" si="82">IF(AL43&gt;0,SUM(AM41:AX41),0)</f>
        <v>18181.818181818187</v>
      </c>
      <c r="AM42" s="33">
        <f t="shared" si="82"/>
        <v>18181.818181818187</v>
      </c>
      <c r="AN42" s="33">
        <f t="shared" si="82"/>
        <v>18181.818181818187</v>
      </c>
      <c r="AO42" s="33">
        <f t="shared" si="82"/>
        <v>18181.818181818187</v>
      </c>
      <c r="AP42" s="33">
        <f t="shared" si="82"/>
        <v>18181.818181818187</v>
      </c>
      <c r="AQ42" s="33">
        <f t="shared" si="82"/>
        <v>16666.666666666672</v>
      </c>
      <c r="AR42" s="33">
        <f t="shared" si="82"/>
        <v>15151.515151515156</v>
      </c>
      <c r="AS42" s="33">
        <f t="shared" si="82"/>
        <v>13636.36363636364</v>
      </c>
      <c r="AT42" s="33">
        <f t="shared" si="82"/>
        <v>12121.212121212124</v>
      </c>
      <c r="AU42" s="33">
        <f t="shared" si="82"/>
        <v>10606.060606060608</v>
      </c>
      <c r="AV42" s="33">
        <f t="shared" si="82"/>
        <v>9090.9090909090919</v>
      </c>
      <c r="AW42" s="33">
        <f t="shared" si="82"/>
        <v>7575.757575757576</v>
      </c>
      <c r="AX42" s="33">
        <f t="shared" si="82"/>
        <v>6060.606060606061</v>
      </c>
      <c r="AY42" s="33">
        <f t="shared" si="82"/>
        <v>4545.454545454546</v>
      </c>
      <c r="AZ42" s="33">
        <f t="shared" si="82"/>
        <v>3030.3030303030305</v>
      </c>
      <c r="BA42" s="33">
        <f t="shared" si="82"/>
        <v>1515.1515151515152</v>
      </c>
      <c r="BB42" s="33">
        <f t="shared" si="82"/>
        <v>0</v>
      </c>
      <c r="BC42" s="33">
        <f t="shared" si="82"/>
        <v>0</v>
      </c>
      <c r="BD42" s="33">
        <f t="shared" si="82"/>
        <v>0</v>
      </c>
      <c r="BE42" s="33">
        <f t="shared" si="82"/>
        <v>0</v>
      </c>
      <c r="BF42" s="33">
        <f t="shared" si="82"/>
        <v>0</v>
      </c>
      <c r="BG42" s="33">
        <f t="shared" si="82"/>
        <v>0</v>
      </c>
      <c r="BH42" s="33">
        <f t="shared" si="82"/>
        <v>0</v>
      </c>
      <c r="BI42" s="33">
        <f t="shared" si="82"/>
        <v>0</v>
      </c>
      <c r="BJ42" s="33">
        <f t="shared" si="82"/>
        <v>0</v>
      </c>
      <c r="BK42" s="33">
        <f t="shared" si="82"/>
        <v>0</v>
      </c>
      <c r="BL42" s="33">
        <f t="shared" si="82"/>
        <v>0</v>
      </c>
      <c r="BM42" s="33">
        <f t="shared" si="82"/>
        <v>0</v>
      </c>
      <c r="BN42" s="33">
        <f t="shared" si="82"/>
        <v>0</v>
      </c>
      <c r="BO42" s="33">
        <f t="shared" si="82"/>
        <v>0</v>
      </c>
      <c r="BP42" s="33">
        <f t="shared" si="82"/>
        <v>0</v>
      </c>
      <c r="BQ42" s="33">
        <f t="shared" si="82"/>
        <v>0</v>
      </c>
      <c r="BR42" s="33">
        <f t="shared" si="82"/>
        <v>0</v>
      </c>
      <c r="BS42" s="33">
        <f t="shared" si="82"/>
        <v>0</v>
      </c>
      <c r="BT42" s="33">
        <f t="shared" si="82"/>
        <v>0</v>
      </c>
      <c r="BU42" s="33">
        <f t="shared" si="82"/>
        <v>0</v>
      </c>
      <c r="BV42" s="33">
        <f>IF(BV43&gt;0,SUM(BW41:CH41),0)</f>
        <v>0</v>
      </c>
      <c r="BW42" s="33">
        <f>IF(BW43&gt;0,SUM(BX41:CI41),0)</f>
        <v>0</v>
      </c>
      <c r="BX42" s="33">
        <f t="shared" ref="BX42:CS42" si="83">IF(BX43&gt;0,SUM(BY41:CJ41),0)</f>
        <v>0</v>
      </c>
      <c r="BY42" s="33">
        <f t="shared" si="83"/>
        <v>0</v>
      </c>
      <c r="BZ42" s="33">
        <f t="shared" si="83"/>
        <v>0</v>
      </c>
      <c r="CA42" s="33">
        <f t="shared" si="83"/>
        <v>0</v>
      </c>
      <c r="CB42" s="33">
        <f t="shared" si="83"/>
        <v>0</v>
      </c>
      <c r="CC42" s="33">
        <f t="shared" si="83"/>
        <v>0</v>
      </c>
      <c r="CD42" s="33">
        <f t="shared" si="83"/>
        <v>0</v>
      </c>
      <c r="CE42" s="33">
        <f t="shared" si="83"/>
        <v>0</v>
      </c>
      <c r="CF42" s="33">
        <f t="shared" si="83"/>
        <v>0</v>
      </c>
      <c r="CG42" s="33">
        <f t="shared" si="83"/>
        <v>0</v>
      </c>
      <c r="CH42" s="33">
        <f t="shared" si="83"/>
        <v>0</v>
      </c>
      <c r="CI42" s="33">
        <f t="shared" si="83"/>
        <v>0</v>
      </c>
      <c r="CJ42" s="33">
        <f t="shared" si="83"/>
        <v>0</v>
      </c>
      <c r="CK42" s="33">
        <f t="shared" si="83"/>
        <v>0</v>
      </c>
      <c r="CL42" s="33">
        <f t="shared" si="83"/>
        <v>0</v>
      </c>
      <c r="CM42" s="33">
        <f t="shared" si="83"/>
        <v>0</v>
      </c>
      <c r="CN42" s="33">
        <f t="shared" si="83"/>
        <v>0</v>
      </c>
      <c r="CO42" s="33">
        <f t="shared" si="83"/>
        <v>0</v>
      </c>
      <c r="CP42" s="33">
        <f t="shared" si="83"/>
        <v>0</v>
      </c>
      <c r="CQ42" s="33">
        <f t="shared" si="83"/>
        <v>0</v>
      </c>
      <c r="CR42" s="33">
        <f t="shared" si="83"/>
        <v>0</v>
      </c>
      <c r="CS42" s="33">
        <f t="shared" si="83"/>
        <v>0</v>
      </c>
    </row>
    <row r="43" spans="1:97" x14ac:dyDescent="0.2">
      <c r="A43" s="42" t="s">
        <v>45</v>
      </c>
      <c r="B43" s="33">
        <f>+B8</f>
        <v>0</v>
      </c>
      <c r="C43" s="33">
        <f>+C8</f>
        <v>0</v>
      </c>
      <c r="D43" s="33">
        <f>+D8</f>
        <v>0</v>
      </c>
      <c r="E43" s="33">
        <f t="shared" ref="E43:M43" si="84">+E12</f>
        <v>0</v>
      </c>
      <c r="F43" s="33">
        <f t="shared" si="84"/>
        <v>50000</v>
      </c>
      <c r="G43" s="33">
        <f t="shared" si="84"/>
        <v>50000</v>
      </c>
      <c r="H43" s="33">
        <f t="shared" si="84"/>
        <v>50000</v>
      </c>
      <c r="I43" s="33">
        <f t="shared" si="84"/>
        <v>50000</v>
      </c>
      <c r="J43" s="33">
        <f>+J12</f>
        <v>48484.848484848488</v>
      </c>
      <c r="K43" s="33">
        <f t="shared" si="84"/>
        <v>46969.696969696975</v>
      </c>
      <c r="L43" s="33">
        <f t="shared" si="84"/>
        <v>45454.545454545463</v>
      </c>
      <c r="M43" s="33">
        <f t="shared" si="84"/>
        <v>43939.393939393951</v>
      </c>
      <c r="N43" s="33"/>
      <c r="O43" s="33">
        <f>+O12</f>
        <v>42424.242424242439</v>
      </c>
      <c r="P43" s="33">
        <f t="shared" ref="P43:Z43" si="85">+P12</f>
        <v>40909.090909090926</v>
      </c>
      <c r="Q43" s="33">
        <f t="shared" si="85"/>
        <v>39393.939393939414</v>
      </c>
      <c r="R43" s="33">
        <f t="shared" si="85"/>
        <v>37878.787878787902</v>
      </c>
      <c r="S43" s="33">
        <f t="shared" si="85"/>
        <v>36363.636363636389</v>
      </c>
      <c r="T43" s="33">
        <f t="shared" si="85"/>
        <v>34848.484848484877</v>
      </c>
      <c r="U43" s="33">
        <f t="shared" si="85"/>
        <v>33333.333333333365</v>
      </c>
      <c r="V43" s="33">
        <f t="shared" si="85"/>
        <v>31818.181818181849</v>
      </c>
      <c r="W43" s="33">
        <f t="shared" si="85"/>
        <v>30303.030303030333</v>
      </c>
      <c r="X43" s="33">
        <f t="shared" si="85"/>
        <v>28787.878787878817</v>
      </c>
      <c r="Y43" s="33">
        <f t="shared" si="85"/>
        <v>27272.727272727301</v>
      </c>
      <c r="Z43" s="33">
        <f t="shared" si="85"/>
        <v>25757.575757575785</v>
      </c>
      <c r="AA43" s="33"/>
      <c r="AB43" s="33"/>
      <c r="AC43" s="33"/>
      <c r="AD43" s="33"/>
      <c r="AE43" s="33"/>
      <c r="AF43" s="33"/>
      <c r="AG43" s="33"/>
      <c r="AH43" s="39"/>
      <c r="AI43" s="39"/>
      <c r="AJ43" s="39"/>
      <c r="AK43" s="39"/>
      <c r="AL43" s="33">
        <f>+B20</f>
        <v>24242.424242424269</v>
      </c>
      <c r="AM43" s="33">
        <f t="shared" ref="AM43:AW43" si="86">+C20</f>
        <v>22727.272727272753</v>
      </c>
      <c r="AN43" s="33">
        <f t="shared" si="86"/>
        <v>21212.121212121237</v>
      </c>
      <c r="AO43" s="33">
        <f t="shared" si="86"/>
        <v>19696.969696969722</v>
      </c>
      <c r="AP43" s="33">
        <f t="shared" si="86"/>
        <v>18181.818181818206</v>
      </c>
      <c r="AQ43" s="33">
        <f t="shared" si="86"/>
        <v>16666.66666666669</v>
      </c>
      <c r="AR43" s="33">
        <f t="shared" si="86"/>
        <v>15151.515151515174</v>
      </c>
      <c r="AS43" s="33">
        <f t="shared" si="86"/>
        <v>13636.363636363658</v>
      </c>
      <c r="AT43" s="33">
        <f t="shared" si="86"/>
        <v>12121.212121212142</v>
      </c>
      <c r="AU43" s="33">
        <f t="shared" si="86"/>
        <v>10606.060606060626</v>
      </c>
      <c r="AV43" s="33">
        <f t="shared" si="86"/>
        <v>9090.9090909091101</v>
      </c>
      <c r="AW43" s="33">
        <f t="shared" si="86"/>
        <v>7575.7575757575951</v>
      </c>
      <c r="AX43" s="33">
        <f>+O20</f>
        <v>6060.6060606060801</v>
      </c>
      <c r="AY43" s="33">
        <f t="shared" ref="AY43:BI43" si="87">+P20</f>
        <v>4545.4545454545651</v>
      </c>
      <c r="AZ43" s="33">
        <f t="shared" si="87"/>
        <v>3030.30303030305</v>
      </c>
      <c r="BA43" s="33">
        <f t="shared" si="87"/>
        <v>1515.1515151515348</v>
      </c>
      <c r="BB43" s="33">
        <f t="shared" si="87"/>
        <v>0</v>
      </c>
      <c r="BC43" s="33">
        <f t="shared" si="87"/>
        <v>0</v>
      </c>
      <c r="BD43" s="33">
        <f t="shared" si="87"/>
        <v>0</v>
      </c>
      <c r="BE43" s="33">
        <f t="shared" si="87"/>
        <v>0</v>
      </c>
      <c r="BF43" s="33">
        <f t="shared" si="87"/>
        <v>0</v>
      </c>
      <c r="BG43" s="33">
        <f t="shared" si="87"/>
        <v>0</v>
      </c>
      <c r="BH43" s="33">
        <f t="shared" si="87"/>
        <v>0</v>
      </c>
      <c r="BI43" s="33">
        <f t="shared" si="87"/>
        <v>0</v>
      </c>
      <c r="BJ43" s="33">
        <f>+B28</f>
        <v>0</v>
      </c>
      <c r="BK43" s="33">
        <f t="shared" ref="BK43:BU43" si="88">+C28</f>
        <v>0</v>
      </c>
      <c r="BL43" s="33">
        <f t="shared" si="88"/>
        <v>0</v>
      </c>
      <c r="BM43" s="33">
        <f t="shared" si="88"/>
        <v>0</v>
      </c>
      <c r="BN43" s="33">
        <f t="shared" si="88"/>
        <v>0</v>
      </c>
      <c r="BO43" s="33">
        <f t="shared" si="88"/>
        <v>0</v>
      </c>
      <c r="BP43" s="33">
        <f t="shared" si="88"/>
        <v>0</v>
      </c>
      <c r="BQ43" s="33">
        <f t="shared" si="88"/>
        <v>0</v>
      </c>
      <c r="BR43" s="33">
        <f t="shared" si="88"/>
        <v>0</v>
      </c>
      <c r="BS43" s="33">
        <f t="shared" si="88"/>
        <v>0</v>
      </c>
      <c r="BT43" s="33">
        <f t="shared" si="88"/>
        <v>0</v>
      </c>
      <c r="BU43" s="33">
        <f t="shared" si="88"/>
        <v>0</v>
      </c>
      <c r="BV43" s="33">
        <f>+O28</f>
        <v>0</v>
      </c>
      <c r="BW43" s="33">
        <f t="shared" ref="BW43:CF43" si="89">+P28</f>
        <v>0</v>
      </c>
      <c r="BX43" s="33">
        <f t="shared" si="89"/>
        <v>0</v>
      </c>
      <c r="BY43" s="33">
        <f t="shared" si="89"/>
        <v>0</v>
      </c>
      <c r="BZ43" s="33">
        <f t="shared" si="89"/>
        <v>0</v>
      </c>
      <c r="CA43" s="33">
        <f t="shared" si="89"/>
        <v>0</v>
      </c>
      <c r="CB43" s="33">
        <f t="shared" si="89"/>
        <v>0</v>
      </c>
      <c r="CC43" s="33">
        <f t="shared" si="89"/>
        <v>0</v>
      </c>
      <c r="CD43" s="33">
        <f t="shared" si="89"/>
        <v>0</v>
      </c>
      <c r="CE43" s="33">
        <f t="shared" si="89"/>
        <v>0</v>
      </c>
      <c r="CF43" s="33">
        <f t="shared" si="89"/>
        <v>0</v>
      </c>
      <c r="CG43" s="33">
        <f>+Z28</f>
        <v>0</v>
      </c>
      <c r="CH43" s="33">
        <f>+B53</f>
        <v>0</v>
      </c>
      <c r="CI43" s="33">
        <f t="shared" ref="CI43:CS43" si="90">+C53</f>
        <v>0</v>
      </c>
      <c r="CJ43" s="33">
        <f t="shared" si="90"/>
        <v>0</v>
      </c>
      <c r="CK43" s="33">
        <f t="shared" si="90"/>
        <v>0</v>
      </c>
      <c r="CL43" s="33">
        <f t="shared" si="90"/>
        <v>0</v>
      </c>
      <c r="CM43" s="33">
        <f t="shared" si="90"/>
        <v>0</v>
      </c>
      <c r="CN43" s="33">
        <f t="shared" si="90"/>
        <v>0</v>
      </c>
      <c r="CO43" s="33">
        <f t="shared" si="90"/>
        <v>0</v>
      </c>
      <c r="CP43" s="33">
        <f t="shared" si="90"/>
        <v>0</v>
      </c>
      <c r="CQ43" s="33">
        <f t="shared" si="90"/>
        <v>0</v>
      </c>
      <c r="CR43" s="33">
        <f t="shared" si="90"/>
        <v>0</v>
      </c>
      <c r="CS43" s="33">
        <f t="shared" si="90"/>
        <v>0</v>
      </c>
    </row>
    <row r="44" spans="1:97" x14ac:dyDescent="0.2">
      <c r="A44" s="39" t="s">
        <v>356</v>
      </c>
      <c r="B44" s="33">
        <f t="shared" ref="B44:M44" si="91">+B43-B42</f>
        <v>0</v>
      </c>
      <c r="C44" s="33">
        <f t="shared" si="91"/>
        <v>0</v>
      </c>
      <c r="D44" s="33">
        <f t="shared" si="91"/>
        <v>0</v>
      </c>
      <c r="E44" s="33">
        <f t="shared" si="91"/>
        <v>0</v>
      </c>
      <c r="F44" s="33">
        <f t="shared" si="91"/>
        <v>36363.63636363636</v>
      </c>
      <c r="G44" s="33">
        <f t="shared" si="91"/>
        <v>34848.484848484848</v>
      </c>
      <c r="H44" s="33">
        <f t="shared" si="91"/>
        <v>33333.333333333328</v>
      </c>
      <c r="I44" s="33">
        <f t="shared" si="91"/>
        <v>31818.181818181813</v>
      </c>
      <c r="J44" s="33">
        <f t="shared" si="91"/>
        <v>30303.0303030303</v>
      </c>
      <c r="K44" s="33">
        <f t="shared" si="91"/>
        <v>28787.878787878788</v>
      </c>
      <c r="L44" s="33">
        <f t="shared" si="91"/>
        <v>27272.727272727276</v>
      </c>
      <c r="M44" s="33">
        <f t="shared" si="91"/>
        <v>25757.575757575763</v>
      </c>
      <c r="N44" s="33">
        <f>+M44</f>
        <v>25757.575757575763</v>
      </c>
      <c r="O44" s="33">
        <f>+O43-O42</f>
        <v>24242.424242424251</v>
      </c>
      <c r="P44" s="33">
        <f t="shared" ref="P44:Z44" si="92">+P43-P42</f>
        <v>22727.272727272739</v>
      </c>
      <c r="Q44" s="33">
        <f t="shared" si="92"/>
        <v>21212.121212121227</v>
      </c>
      <c r="R44" s="33">
        <f t="shared" si="92"/>
        <v>19696.969696969714</v>
      </c>
      <c r="S44" s="33">
        <f t="shared" si="92"/>
        <v>18181.818181818202</v>
      </c>
      <c r="T44" s="33">
        <f t="shared" si="92"/>
        <v>16666.66666666669</v>
      </c>
      <c r="U44" s="33">
        <f t="shared" si="92"/>
        <v>15151.515151515177</v>
      </c>
      <c r="V44" s="33">
        <f t="shared" si="92"/>
        <v>13636.363636363661</v>
      </c>
      <c r="W44" s="33">
        <f t="shared" si="92"/>
        <v>12121.212121212146</v>
      </c>
      <c r="X44" s="33">
        <f t="shared" si="92"/>
        <v>10606.06060606063</v>
      </c>
      <c r="Y44" s="33">
        <f t="shared" si="92"/>
        <v>9090.9090909091137</v>
      </c>
      <c r="Z44" s="33">
        <f t="shared" si="92"/>
        <v>7575.7575757575978</v>
      </c>
      <c r="AA44" s="33">
        <f>+Z44</f>
        <v>7575.7575757575978</v>
      </c>
      <c r="AB44" s="33">
        <f>+N44</f>
        <v>25757.575757575763</v>
      </c>
      <c r="AC44" s="33">
        <f>+AA44</f>
        <v>7575.7575757575978</v>
      </c>
      <c r="AD44" s="33">
        <f>+AW44</f>
        <v>0</v>
      </c>
      <c r="AE44" s="33">
        <f>+BI44</f>
        <v>0</v>
      </c>
      <c r="AF44" s="33">
        <f>+BU44</f>
        <v>0</v>
      </c>
      <c r="AG44" s="33">
        <f>+CG44</f>
        <v>0</v>
      </c>
      <c r="AH44" s="39"/>
      <c r="AI44" s="39"/>
      <c r="AJ44" s="39"/>
      <c r="AK44" s="39"/>
      <c r="AL44" s="33">
        <f t="shared" ref="AL44:BY44" si="93">IF(+AL43-AL42&lt;0.1,0,AL43-AL42)</f>
        <v>6060.6060606060819</v>
      </c>
      <c r="AM44" s="33">
        <f t="shared" si="93"/>
        <v>4545.454545454566</v>
      </c>
      <c r="AN44" s="33">
        <f t="shared" si="93"/>
        <v>3030.30303030305</v>
      </c>
      <c r="AO44" s="33">
        <f t="shared" si="93"/>
        <v>1515.1515151515341</v>
      </c>
      <c r="AP44" s="33">
        <f t="shared" si="93"/>
        <v>0</v>
      </c>
      <c r="AQ44" s="33">
        <f t="shared" si="93"/>
        <v>0</v>
      </c>
      <c r="AR44" s="33">
        <f t="shared" si="93"/>
        <v>0</v>
      </c>
      <c r="AS44" s="33">
        <f t="shared" si="93"/>
        <v>0</v>
      </c>
      <c r="AT44" s="33">
        <f t="shared" si="93"/>
        <v>0</v>
      </c>
      <c r="AU44" s="33">
        <f t="shared" si="93"/>
        <v>0</v>
      </c>
      <c r="AV44" s="33">
        <f t="shared" si="93"/>
        <v>0</v>
      </c>
      <c r="AW44" s="33">
        <f t="shared" si="93"/>
        <v>0</v>
      </c>
      <c r="AX44" s="33">
        <f t="shared" si="93"/>
        <v>0</v>
      </c>
      <c r="AY44" s="33">
        <f t="shared" si="93"/>
        <v>0</v>
      </c>
      <c r="AZ44" s="33">
        <f t="shared" si="93"/>
        <v>0</v>
      </c>
      <c r="BA44" s="33">
        <f t="shared" si="93"/>
        <v>0</v>
      </c>
      <c r="BB44" s="33">
        <f t="shared" si="93"/>
        <v>0</v>
      </c>
      <c r="BC44" s="33">
        <f t="shared" si="93"/>
        <v>0</v>
      </c>
      <c r="BD44" s="33">
        <f t="shared" si="93"/>
        <v>0</v>
      </c>
      <c r="BE44" s="33">
        <f t="shared" si="93"/>
        <v>0</v>
      </c>
      <c r="BF44" s="33">
        <f t="shared" si="93"/>
        <v>0</v>
      </c>
      <c r="BG44" s="33">
        <f t="shared" si="93"/>
        <v>0</v>
      </c>
      <c r="BH44" s="33">
        <f t="shared" si="93"/>
        <v>0</v>
      </c>
      <c r="BI44" s="33">
        <f t="shared" si="93"/>
        <v>0</v>
      </c>
      <c r="BJ44" s="33">
        <f t="shared" si="93"/>
        <v>0</v>
      </c>
      <c r="BK44" s="33">
        <f t="shared" si="93"/>
        <v>0</v>
      </c>
      <c r="BL44" s="33">
        <f t="shared" si="93"/>
        <v>0</v>
      </c>
      <c r="BM44" s="33">
        <f t="shared" si="93"/>
        <v>0</v>
      </c>
      <c r="BN44" s="33">
        <f t="shared" si="93"/>
        <v>0</v>
      </c>
      <c r="BO44" s="33">
        <f t="shared" si="93"/>
        <v>0</v>
      </c>
      <c r="BP44" s="33">
        <f t="shared" si="93"/>
        <v>0</v>
      </c>
      <c r="BQ44" s="33">
        <f t="shared" si="93"/>
        <v>0</v>
      </c>
      <c r="BR44" s="33">
        <f t="shared" si="93"/>
        <v>0</v>
      </c>
      <c r="BS44" s="33">
        <f t="shared" si="93"/>
        <v>0</v>
      </c>
      <c r="BT44" s="33">
        <f t="shared" si="93"/>
        <v>0</v>
      </c>
      <c r="BU44" s="33">
        <f t="shared" si="93"/>
        <v>0</v>
      </c>
      <c r="BV44" s="33">
        <f t="shared" si="93"/>
        <v>0</v>
      </c>
      <c r="BW44" s="33">
        <f t="shared" si="93"/>
        <v>0</v>
      </c>
      <c r="BX44" s="33">
        <f t="shared" si="93"/>
        <v>0</v>
      </c>
      <c r="BY44" s="33">
        <f t="shared" si="93"/>
        <v>0</v>
      </c>
      <c r="BZ44" s="33">
        <f>IF(+BZ43-BZ42&lt;0.1,0,BZ43-BZ42)</f>
        <v>0</v>
      </c>
      <c r="CA44" s="33">
        <f>IF(+CA43-CA42&lt;0.1,0,CA43-CA42)</f>
        <v>0</v>
      </c>
      <c r="CB44" s="33">
        <f t="shared" ref="CB44:CK44" si="94">IF(+CB43-CB42&lt;0.1,0,CB43-CB42)</f>
        <v>0</v>
      </c>
      <c r="CC44" s="33">
        <f t="shared" si="94"/>
        <v>0</v>
      </c>
      <c r="CD44" s="33">
        <f t="shared" si="94"/>
        <v>0</v>
      </c>
      <c r="CE44" s="33">
        <f t="shared" si="94"/>
        <v>0</v>
      </c>
      <c r="CF44" s="33">
        <f t="shared" si="94"/>
        <v>0</v>
      </c>
      <c r="CG44" s="33">
        <f t="shared" si="94"/>
        <v>0</v>
      </c>
      <c r="CH44" s="33">
        <f t="shared" si="94"/>
        <v>0</v>
      </c>
      <c r="CI44" s="33">
        <f t="shared" si="94"/>
        <v>0</v>
      </c>
      <c r="CJ44" s="33">
        <f t="shared" si="94"/>
        <v>0</v>
      </c>
      <c r="CK44" s="33">
        <f t="shared" si="94"/>
        <v>0</v>
      </c>
      <c r="CL44" s="33">
        <f>IF(+CL43-CL42&lt;0.1,0,CL43-CL42)</f>
        <v>0</v>
      </c>
      <c r="CM44" s="33">
        <f>IF(+CM43-CM42&lt;0.1,0,CM43-CM42)</f>
        <v>0</v>
      </c>
      <c r="CN44" s="33">
        <f t="shared" ref="CN44:CS44" si="95">IF(+CN43-CN42&lt;0.1,0,CN43-CN42)</f>
        <v>0</v>
      </c>
      <c r="CO44" s="33">
        <f t="shared" si="95"/>
        <v>0</v>
      </c>
      <c r="CP44" s="33">
        <f t="shared" si="95"/>
        <v>0</v>
      </c>
      <c r="CQ44" s="33">
        <f t="shared" si="95"/>
        <v>0</v>
      </c>
      <c r="CR44" s="33">
        <f t="shared" si="95"/>
        <v>0</v>
      </c>
      <c r="CS44" s="33">
        <f t="shared" si="95"/>
        <v>0</v>
      </c>
    </row>
    <row r="45" spans="1:97" x14ac:dyDescent="0.2">
      <c r="E45" s="14"/>
      <c r="F45" s="14"/>
    </row>
    <row r="46" spans="1:97" x14ac:dyDescent="0.2">
      <c r="E46" s="14"/>
      <c r="F46" s="14"/>
    </row>
    <row r="47" spans="1:97" x14ac:dyDescent="0.2">
      <c r="A47" s="33"/>
      <c r="B47" s="1962">
        <f>+O22+1</f>
        <v>2023</v>
      </c>
      <c r="C47" s="1962"/>
      <c r="D47" s="1962"/>
      <c r="E47" s="1962"/>
      <c r="F47" s="1962"/>
      <c r="G47" s="1962"/>
      <c r="H47" s="1962"/>
      <c r="I47" s="1962"/>
      <c r="J47" s="1962"/>
      <c r="K47" s="1962"/>
      <c r="L47" s="1962"/>
      <c r="M47" s="1962"/>
      <c r="N47" s="1963" t="s">
        <v>544</v>
      </c>
      <c r="O47" s="1962">
        <f>+B47+1</f>
        <v>2024</v>
      </c>
      <c r="P47" s="1962"/>
      <c r="Q47" s="1962"/>
      <c r="R47" s="1962"/>
      <c r="S47" s="1962"/>
      <c r="T47" s="1962"/>
      <c r="U47" s="1962"/>
      <c r="V47" s="1962"/>
      <c r="W47" s="1962"/>
      <c r="X47" s="1962"/>
      <c r="Y47" s="1962"/>
      <c r="Z47" s="1962"/>
      <c r="AA47" s="1963" t="s">
        <v>545</v>
      </c>
    </row>
    <row r="48" spans="1:97" x14ac:dyDescent="0.2">
      <c r="A48" s="33"/>
      <c r="B48" s="1144" t="str">
        <f t="shared" ref="B48:M48" si="96">+B23</f>
        <v>Ene</v>
      </c>
      <c r="C48" s="1144" t="str">
        <f t="shared" si="96"/>
        <v>Feb</v>
      </c>
      <c r="D48" s="1144" t="str">
        <f t="shared" si="96"/>
        <v>Mar</v>
      </c>
      <c r="E48" s="1144" t="str">
        <f t="shared" si="96"/>
        <v>Abr</v>
      </c>
      <c r="F48" s="1144" t="str">
        <f t="shared" si="96"/>
        <v>May</v>
      </c>
      <c r="G48" s="1144" t="str">
        <f t="shared" si="96"/>
        <v>Jun</v>
      </c>
      <c r="H48" s="1144" t="str">
        <f t="shared" si="96"/>
        <v>Jul</v>
      </c>
      <c r="I48" s="1144" t="str">
        <f t="shared" si="96"/>
        <v>Ago</v>
      </c>
      <c r="J48" s="1144" t="str">
        <f t="shared" si="96"/>
        <v>Sep</v>
      </c>
      <c r="K48" s="1144" t="str">
        <f t="shared" si="96"/>
        <v>Oct</v>
      </c>
      <c r="L48" s="1144" t="str">
        <f t="shared" si="96"/>
        <v>Nov</v>
      </c>
      <c r="M48" s="1144" t="str">
        <f t="shared" si="96"/>
        <v>Dic</v>
      </c>
      <c r="N48" s="1963"/>
      <c r="O48" s="1144" t="str">
        <f t="shared" ref="O48:Z48" si="97">+O23</f>
        <v>Ene</v>
      </c>
      <c r="P48" s="1144" t="str">
        <f t="shared" si="97"/>
        <v>Feb</v>
      </c>
      <c r="Q48" s="1144" t="str">
        <f t="shared" si="97"/>
        <v>Mar</v>
      </c>
      <c r="R48" s="1144" t="str">
        <f t="shared" si="97"/>
        <v>Abr</v>
      </c>
      <c r="S48" s="1144" t="str">
        <f t="shared" si="97"/>
        <v>May</v>
      </c>
      <c r="T48" s="1144" t="str">
        <f t="shared" si="97"/>
        <v>Jun</v>
      </c>
      <c r="U48" s="1144" t="str">
        <f t="shared" si="97"/>
        <v>Jul</v>
      </c>
      <c r="V48" s="1144" t="str">
        <f t="shared" si="97"/>
        <v>Ago</v>
      </c>
      <c r="W48" s="1144" t="str">
        <f t="shared" si="97"/>
        <v>Sep</v>
      </c>
      <c r="X48" s="1144" t="str">
        <f t="shared" si="97"/>
        <v>Oct</v>
      </c>
      <c r="Y48" s="1144" t="str">
        <f t="shared" si="97"/>
        <v>Nov</v>
      </c>
      <c r="Z48" s="1144" t="str">
        <f t="shared" si="97"/>
        <v>Dic</v>
      </c>
      <c r="AA48" s="1963"/>
    </row>
    <row r="49" spans="1:27" x14ac:dyDescent="0.2">
      <c r="A49" s="1145" t="s">
        <v>43</v>
      </c>
      <c r="B49" s="1146">
        <f>IF(B56=0,0,IF(B56=1,$B$5,AA28))</f>
        <v>0</v>
      </c>
      <c r="C49" s="1146">
        <f>IF(C56=0,0,IF(C56=1,$B$5,B53))</f>
        <v>0</v>
      </c>
      <c r="D49" s="1146">
        <f t="shared" ref="D49:M49" si="98">IF(D56=0,0,IF(D56=1,$B$5,C53))</f>
        <v>0</v>
      </c>
      <c r="E49" s="1146">
        <f t="shared" si="98"/>
        <v>0</v>
      </c>
      <c r="F49" s="1146">
        <f t="shared" si="98"/>
        <v>0</v>
      </c>
      <c r="G49" s="1146">
        <f t="shared" si="98"/>
        <v>0</v>
      </c>
      <c r="H49" s="1146">
        <f t="shared" si="98"/>
        <v>0</v>
      </c>
      <c r="I49" s="1146">
        <f t="shared" si="98"/>
        <v>0</v>
      </c>
      <c r="J49" s="1146">
        <f t="shared" si="98"/>
        <v>0</v>
      </c>
      <c r="K49" s="1146">
        <f t="shared" si="98"/>
        <v>0</v>
      </c>
      <c r="L49" s="1146">
        <f t="shared" si="98"/>
        <v>0</v>
      </c>
      <c r="M49" s="1146">
        <f t="shared" si="98"/>
        <v>0</v>
      </c>
      <c r="N49" s="1147">
        <f>+B49</f>
        <v>0</v>
      </c>
      <c r="O49" s="35">
        <f t="shared" ref="O49:Z49" si="99">IF(O62=0,0,IF(O62=1,$B$5,N53))</f>
        <v>0</v>
      </c>
      <c r="P49" s="35">
        <f t="shared" si="99"/>
        <v>0</v>
      </c>
      <c r="Q49" s="35">
        <f t="shared" si="99"/>
        <v>0</v>
      </c>
      <c r="R49" s="35">
        <f t="shared" si="99"/>
        <v>0</v>
      </c>
      <c r="S49" s="35">
        <f t="shared" si="99"/>
        <v>0</v>
      </c>
      <c r="T49" s="35">
        <f t="shared" si="99"/>
        <v>0</v>
      </c>
      <c r="U49" s="35">
        <f t="shared" si="99"/>
        <v>0</v>
      </c>
      <c r="V49" s="35">
        <f t="shared" si="99"/>
        <v>0</v>
      </c>
      <c r="W49" s="35">
        <f t="shared" si="99"/>
        <v>0</v>
      </c>
      <c r="X49" s="35">
        <f t="shared" si="99"/>
        <v>0</v>
      </c>
      <c r="Y49" s="35">
        <f t="shared" si="99"/>
        <v>0</v>
      </c>
      <c r="Z49" s="35">
        <f t="shared" si="99"/>
        <v>0</v>
      </c>
      <c r="AA49" s="1143">
        <f>+O49</f>
        <v>0</v>
      </c>
    </row>
    <row r="50" spans="1:27" x14ac:dyDescent="0.2">
      <c r="A50" s="1145" t="s">
        <v>267</v>
      </c>
      <c r="B50" s="1146">
        <f>IF(Z37=0,0,(B49*$C$5/12))</f>
        <v>0</v>
      </c>
      <c r="C50" s="1146">
        <f>IF(B56=0,0,(C49*$C$5/12))</f>
        <v>0</v>
      </c>
      <c r="D50" s="1146">
        <f t="shared" ref="D50:M50" si="100">IF(C56=0,0,(D49*$C$5/12))</f>
        <v>0</v>
      </c>
      <c r="E50" s="1146">
        <f t="shared" si="100"/>
        <v>0</v>
      </c>
      <c r="F50" s="1146">
        <f t="shared" si="100"/>
        <v>0</v>
      </c>
      <c r="G50" s="1146">
        <f t="shared" si="100"/>
        <v>0</v>
      </c>
      <c r="H50" s="1146">
        <f t="shared" si="100"/>
        <v>0</v>
      </c>
      <c r="I50" s="1146">
        <f t="shared" si="100"/>
        <v>0</v>
      </c>
      <c r="J50" s="1146">
        <f t="shared" si="100"/>
        <v>0</v>
      </c>
      <c r="K50" s="1146">
        <f t="shared" si="100"/>
        <v>0</v>
      </c>
      <c r="L50" s="1146">
        <f t="shared" si="100"/>
        <v>0</v>
      </c>
      <c r="M50" s="1146">
        <f t="shared" si="100"/>
        <v>0</v>
      </c>
      <c r="N50" s="1143">
        <f>SUM(B50:M50)</f>
        <v>0</v>
      </c>
      <c r="O50" s="35">
        <f>IF(M62=0,0,(O49*$C$5/12))</f>
        <v>0</v>
      </c>
      <c r="P50" s="35">
        <f t="shared" ref="P50:Z50" si="101">IF(O62=0,0,(P49*$C$5/12))</f>
        <v>0</v>
      </c>
      <c r="Q50" s="35">
        <f t="shared" si="101"/>
        <v>0</v>
      </c>
      <c r="R50" s="35">
        <f t="shared" si="101"/>
        <v>0</v>
      </c>
      <c r="S50" s="35">
        <f t="shared" si="101"/>
        <v>0</v>
      </c>
      <c r="T50" s="35">
        <f t="shared" si="101"/>
        <v>0</v>
      </c>
      <c r="U50" s="35">
        <f t="shared" si="101"/>
        <v>0</v>
      </c>
      <c r="V50" s="35">
        <f t="shared" si="101"/>
        <v>0</v>
      </c>
      <c r="W50" s="35">
        <f t="shared" si="101"/>
        <v>0</v>
      </c>
      <c r="X50" s="35">
        <f t="shared" si="101"/>
        <v>0</v>
      </c>
      <c r="Y50" s="35">
        <f t="shared" si="101"/>
        <v>0</v>
      </c>
      <c r="Z50" s="35">
        <f t="shared" si="101"/>
        <v>0</v>
      </c>
      <c r="AA50" s="1143">
        <f>SUM(O50:Z50)</f>
        <v>0</v>
      </c>
    </row>
    <row r="51" spans="1:27" x14ac:dyDescent="0.2">
      <c r="A51" s="1145" t="str">
        <f>+A44</f>
        <v>a largo plazo</v>
      </c>
      <c r="B51" s="1146">
        <f>IF(B49=0,0,IF(B55&lt;=$F$5+$D$5,0,$B$5/($E$5-$D$5)))</f>
        <v>0</v>
      </c>
      <c r="C51" s="1146">
        <f>IF(C49=0,0,IF(C55&lt;=$F$5+$D$5,0,$B$5/($E$5-$D$5)))</f>
        <v>0</v>
      </c>
      <c r="D51" s="1146">
        <f t="shared" ref="D51:M51" si="102">IF(D49=0,0,IF(D55&lt;=$F$5+$D$5,0,$B$5/($E$5-$D$5)))</f>
        <v>0</v>
      </c>
      <c r="E51" s="1146">
        <f t="shared" si="102"/>
        <v>0</v>
      </c>
      <c r="F51" s="1146">
        <f t="shared" si="102"/>
        <v>0</v>
      </c>
      <c r="G51" s="1146">
        <f t="shared" si="102"/>
        <v>0</v>
      </c>
      <c r="H51" s="1146">
        <f t="shared" si="102"/>
        <v>0</v>
      </c>
      <c r="I51" s="1146">
        <f t="shared" si="102"/>
        <v>0</v>
      </c>
      <c r="J51" s="1146">
        <f t="shared" si="102"/>
        <v>0</v>
      </c>
      <c r="K51" s="1146">
        <f t="shared" si="102"/>
        <v>0</v>
      </c>
      <c r="L51" s="1146">
        <f t="shared" si="102"/>
        <v>0</v>
      </c>
      <c r="M51" s="1146">
        <f t="shared" si="102"/>
        <v>0</v>
      </c>
      <c r="N51" s="1143">
        <f>SUM(B51:M51)</f>
        <v>0</v>
      </c>
      <c r="O51" s="35">
        <f t="shared" ref="O51:Z51" si="103">IF(O49=0,0,IF(O61&lt;=$F$5+$D$5,0,$B$5/($E$5-$D$5)))</f>
        <v>0</v>
      </c>
      <c r="P51" s="35">
        <f t="shared" si="103"/>
        <v>0</v>
      </c>
      <c r="Q51" s="35">
        <f t="shared" si="103"/>
        <v>0</v>
      </c>
      <c r="R51" s="35">
        <f t="shared" si="103"/>
        <v>0</v>
      </c>
      <c r="S51" s="35">
        <f t="shared" si="103"/>
        <v>0</v>
      </c>
      <c r="T51" s="35">
        <f t="shared" si="103"/>
        <v>0</v>
      </c>
      <c r="U51" s="35">
        <f t="shared" si="103"/>
        <v>0</v>
      </c>
      <c r="V51" s="35">
        <f t="shared" si="103"/>
        <v>0</v>
      </c>
      <c r="W51" s="35">
        <f t="shared" si="103"/>
        <v>0</v>
      </c>
      <c r="X51" s="35">
        <f t="shared" si="103"/>
        <v>0</v>
      </c>
      <c r="Y51" s="35">
        <f t="shared" si="103"/>
        <v>0</v>
      </c>
      <c r="Z51" s="35">
        <f t="shared" si="103"/>
        <v>0</v>
      </c>
      <c r="AA51" s="1143">
        <f>SUM(O51:Z51)</f>
        <v>0</v>
      </c>
    </row>
    <row r="52" spans="1:27" x14ac:dyDescent="0.2">
      <c r="A52" s="1145" t="s">
        <v>52</v>
      </c>
      <c r="B52" s="1146">
        <f t="shared" ref="B52:M52" si="104">+B50+B51</f>
        <v>0</v>
      </c>
      <c r="C52" s="1146">
        <f t="shared" si="104"/>
        <v>0</v>
      </c>
      <c r="D52" s="1146">
        <f t="shared" si="104"/>
        <v>0</v>
      </c>
      <c r="E52" s="1146">
        <f t="shared" si="104"/>
        <v>0</v>
      </c>
      <c r="F52" s="1146">
        <f t="shared" si="104"/>
        <v>0</v>
      </c>
      <c r="G52" s="1146">
        <f t="shared" si="104"/>
        <v>0</v>
      </c>
      <c r="H52" s="1146">
        <f t="shared" si="104"/>
        <v>0</v>
      </c>
      <c r="I52" s="1146">
        <f t="shared" si="104"/>
        <v>0</v>
      </c>
      <c r="J52" s="1146">
        <f t="shared" si="104"/>
        <v>0</v>
      </c>
      <c r="K52" s="1146">
        <f t="shared" si="104"/>
        <v>0</v>
      </c>
      <c r="L52" s="1146">
        <f t="shared" si="104"/>
        <v>0</v>
      </c>
      <c r="M52" s="1146">
        <f t="shared" si="104"/>
        <v>0</v>
      </c>
      <c r="N52" s="1143">
        <f>SUM(B52:M52)</f>
        <v>0</v>
      </c>
      <c r="O52" s="35">
        <f t="shared" ref="O52:Z52" si="105">+O50+O51</f>
        <v>0</v>
      </c>
      <c r="P52" s="35">
        <f t="shared" si="105"/>
        <v>0</v>
      </c>
      <c r="Q52" s="35">
        <f t="shared" si="105"/>
        <v>0</v>
      </c>
      <c r="R52" s="35">
        <f t="shared" si="105"/>
        <v>0</v>
      </c>
      <c r="S52" s="35">
        <f t="shared" si="105"/>
        <v>0</v>
      </c>
      <c r="T52" s="35">
        <f t="shared" si="105"/>
        <v>0</v>
      </c>
      <c r="U52" s="35">
        <f t="shared" si="105"/>
        <v>0</v>
      </c>
      <c r="V52" s="35">
        <f t="shared" si="105"/>
        <v>0</v>
      </c>
      <c r="W52" s="35">
        <f t="shared" si="105"/>
        <v>0</v>
      </c>
      <c r="X52" s="35">
        <f t="shared" si="105"/>
        <v>0</v>
      </c>
      <c r="Y52" s="35">
        <f t="shared" si="105"/>
        <v>0</v>
      </c>
      <c r="Z52" s="35">
        <f t="shared" si="105"/>
        <v>0</v>
      </c>
      <c r="AA52" s="1143">
        <f>SUM(O52:Z52)</f>
        <v>0</v>
      </c>
    </row>
    <row r="53" spans="1:27" x14ac:dyDescent="0.2">
      <c r="A53" s="1145" t="s">
        <v>45</v>
      </c>
      <c r="B53" s="35">
        <f t="shared" ref="B53:M53" si="106">IF(B49-B51&lt;=0.01,0,B49-B51)</f>
        <v>0</v>
      </c>
      <c r="C53" s="35">
        <f t="shared" si="106"/>
        <v>0</v>
      </c>
      <c r="D53" s="35">
        <f t="shared" si="106"/>
        <v>0</v>
      </c>
      <c r="E53" s="35">
        <f t="shared" si="106"/>
        <v>0</v>
      </c>
      <c r="F53" s="35">
        <f t="shared" si="106"/>
        <v>0</v>
      </c>
      <c r="G53" s="35">
        <f t="shared" si="106"/>
        <v>0</v>
      </c>
      <c r="H53" s="35">
        <f t="shared" si="106"/>
        <v>0</v>
      </c>
      <c r="I53" s="35">
        <f t="shared" si="106"/>
        <v>0</v>
      </c>
      <c r="J53" s="35">
        <f t="shared" si="106"/>
        <v>0</v>
      </c>
      <c r="K53" s="35">
        <f t="shared" si="106"/>
        <v>0</v>
      </c>
      <c r="L53" s="35">
        <f t="shared" si="106"/>
        <v>0</v>
      </c>
      <c r="M53" s="35">
        <f t="shared" si="106"/>
        <v>0</v>
      </c>
      <c r="N53" s="1143">
        <f>+M53</f>
        <v>0</v>
      </c>
      <c r="O53" s="35">
        <f t="shared" ref="O53:Z53" si="107">IF(O49-O51&lt;=0.01,0,O49-O51)</f>
        <v>0</v>
      </c>
      <c r="P53" s="35">
        <f t="shared" si="107"/>
        <v>0</v>
      </c>
      <c r="Q53" s="35">
        <f t="shared" si="107"/>
        <v>0</v>
      </c>
      <c r="R53" s="35">
        <f t="shared" si="107"/>
        <v>0</v>
      </c>
      <c r="S53" s="35">
        <f t="shared" si="107"/>
        <v>0</v>
      </c>
      <c r="T53" s="35">
        <f t="shared" si="107"/>
        <v>0</v>
      </c>
      <c r="U53" s="35">
        <f t="shared" si="107"/>
        <v>0</v>
      </c>
      <c r="V53" s="35">
        <f t="shared" si="107"/>
        <v>0</v>
      </c>
      <c r="W53" s="35">
        <f t="shared" si="107"/>
        <v>0</v>
      </c>
      <c r="X53" s="35">
        <f t="shared" si="107"/>
        <v>0</v>
      </c>
      <c r="Y53" s="35">
        <f t="shared" si="107"/>
        <v>0</v>
      </c>
      <c r="Z53" s="35">
        <f t="shared" si="107"/>
        <v>0</v>
      </c>
      <c r="AA53" s="1143">
        <f>+Z53</f>
        <v>0</v>
      </c>
    </row>
    <row r="54" spans="1:27" x14ac:dyDescent="0.2">
      <c r="E54" s="14"/>
      <c r="F54" s="14"/>
    </row>
    <row r="55" spans="1:27" x14ac:dyDescent="0.2">
      <c r="A55" s="16" t="str">
        <f>+A36</f>
        <v>Numero del mes</v>
      </c>
      <c r="B55" s="16">
        <f>+Z36+1</f>
        <v>73</v>
      </c>
      <c r="C55" s="16">
        <f t="shared" ref="C55:M55" si="108">+B55+1</f>
        <v>74</v>
      </c>
      <c r="D55" s="16">
        <f t="shared" si="108"/>
        <v>75</v>
      </c>
      <c r="E55" s="14">
        <f t="shared" si="108"/>
        <v>76</v>
      </c>
      <c r="F55" s="14">
        <f t="shared" si="108"/>
        <v>77</v>
      </c>
      <c r="G55" s="16">
        <f t="shared" si="108"/>
        <v>78</v>
      </c>
      <c r="H55" s="16">
        <f t="shared" si="108"/>
        <v>79</v>
      </c>
      <c r="I55" s="16">
        <f t="shared" si="108"/>
        <v>80</v>
      </c>
      <c r="J55" s="16">
        <f t="shared" si="108"/>
        <v>81</v>
      </c>
      <c r="K55" s="16">
        <f t="shared" si="108"/>
        <v>82</v>
      </c>
      <c r="L55" s="16">
        <f t="shared" si="108"/>
        <v>83</v>
      </c>
      <c r="M55" s="16">
        <f t="shared" si="108"/>
        <v>84</v>
      </c>
      <c r="O55" s="16">
        <f>+M55+1</f>
        <v>85</v>
      </c>
      <c r="P55" s="16">
        <f t="shared" ref="P55:Z55" si="109">+O55+1</f>
        <v>86</v>
      </c>
      <c r="Q55" s="16">
        <f t="shared" si="109"/>
        <v>87</v>
      </c>
      <c r="R55" s="16">
        <f t="shared" si="109"/>
        <v>88</v>
      </c>
      <c r="S55" s="16">
        <f t="shared" si="109"/>
        <v>89</v>
      </c>
      <c r="T55" s="16">
        <f t="shared" si="109"/>
        <v>90</v>
      </c>
      <c r="U55" s="16">
        <f t="shared" si="109"/>
        <v>91</v>
      </c>
      <c r="V55" s="16">
        <f t="shared" si="109"/>
        <v>92</v>
      </c>
      <c r="W55" s="16">
        <f t="shared" si="109"/>
        <v>93</v>
      </c>
      <c r="X55" s="16">
        <f t="shared" si="109"/>
        <v>94</v>
      </c>
      <c r="Y55" s="16">
        <f t="shared" si="109"/>
        <v>95</v>
      </c>
      <c r="Z55" s="16">
        <f t="shared" si="109"/>
        <v>96</v>
      </c>
    </row>
    <row r="56" spans="1:27" x14ac:dyDescent="0.2">
      <c r="A56" s="16" t="str">
        <f>+A37</f>
        <v>Meses del ciclo</v>
      </c>
      <c r="B56" s="16">
        <f>IF(B55&lt;$F$5,0,IF(B55=$F$5,1,IF(B55&gt;$F$5+$E$5,0,Z37+1)))</f>
        <v>0</v>
      </c>
      <c r="C56" s="16">
        <f>IF(C55&lt;$F$5,0,IF(C55=$F$5,1,IF(C55&gt;$F$5+$E$5,0,B56+1)))</f>
        <v>0</v>
      </c>
      <c r="D56" s="16">
        <f t="shared" ref="D56:M56" si="110">IF(D55&lt;$F$5,0,IF(D55=$F$5,1,IF(D55&gt;$F$5+$E$5,0,C56+1)))</f>
        <v>0</v>
      </c>
      <c r="E56" s="14">
        <f t="shared" si="110"/>
        <v>0</v>
      </c>
      <c r="F56" s="14">
        <f t="shared" si="110"/>
        <v>0</v>
      </c>
      <c r="G56" s="16">
        <f t="shared" si="110"/>
        <v>0</v>
      </c>
      <c r="H56" s="16">
        <f t="shared" si="110"/>
        <v>0</v>
      </c>
      <c r="I56" s="16">
        <f t="shared" si="110"/>
        <v>0</v>
      </c>
      <c r="J56" s="16">
        <f t="shared" si="110"/>
        <v>0</v>
      </c>
      <c r="K56" s="16">
        <f t="shared" si="110"/>
        <v>0</v>
      </c>
      <c r="L56" s="16">
        <f t="shared" si="110"/>
        <v>0</v>
      </c>
      <c r="M56" s="16">
        <f t="shared" si="110"/>
        <v>0</v>
      </c>
      <c r="N56" s="16">
        <f>+M56</f>
        <v>0</v>
      </c>
      <c r="O56" s="16">
        <f t="shared" ref="O56:Z56" si="111">IF(O55&lt;$F$5,0,IF(O55=$F$5,1,IF(O55&gt;$F$5+$E$5,0,N56+1)))</f>
        <v>0</v>
      </c>
      <c r="P56" s="16">
        <f t="shared" si="111"/>
        <v>0</v>
      </c>
      <c r="Q56" s="16">
        <f t="shared" si="111"/>
        <v>0</v>
      </c>
      <c r="R56" s="16">
        <f t="shared" si="111"/>
        <v>0</v>
      </c>
      <c r="S56" s="16">
        <f t="shared" si="111"/>
        <v>0</v>
      </c>
      <c r="T56" s="16">
        <f t="shared" si="111"/>
        <v>0</v>
      </c>
      <c r="U56" s="16">
        <f t="shared" si="111"/>
        <v>0</v>
      </c>
      <c r="V56" s="16">
        <f t="shared" si="111"/>
        <v>0</v>
      </c>
      <c r="W56" s="16">
        <f t="shared" si="111"/>
        <v>0</v>
      </c>
      <c r="X56" s="16">
        <f t="shared" si="111"/>
        <v>0</v>
      </c>
      <c r="Y56" s="16">
        <f t="shared" si="111"/>
        <v>0</v>
      </c>
      <c r="Z56" s="16">
        <f t="shared" si="111"/>
        <v>0</v>
      </c>
    </row>
    <row r="57" spans="1:27" x14ac:dyDescent="0.2">
      <c r="E57" s="14"/>
      <c r="F57" s="14"/>
    </row>
    <row r="58" spans="1:27" x14ac:dyDescent="0.2">
      <c r="E58" s="14"/>
      <c r="F58" s="14"/>
    </row>
    <row r="59" spans="1:27" x14ac:dyDescent="0.2">
      <c r="E59" s="14"/>
      <c r="F59" s="14"/>
    </row>
    <row r="60" spans="1:27" x14ac:dyDescent="0.2">
      <c r="E60" s="14"/>
      <c r="F60" s="14"/>
    </row>
    <row r="61" spans="1:27" x14ac:dyDescent="0.2">
      <c r="E61" s="14"/>
      <c r="F61" s="14"/>
    </row>
    <row r="62" spans="1:27" x14ac:dyDescent="0.2">
      <c r="E62" s="14"/>
      <c r="F62" s="14"/>
    </row>
    <row r="63" spans="1:27" x14ac:dyDescent="0.2">
      <c r="E63" s="14"/>
      <c r="F63" s="14"/>
    </row>
    <row r="64" spans="1:27" x14ac:dyDescent="0.2">
      <c r="E64" s="14"/>
      <c r="F64" s="14"/>
    </row>
    <row r="65" spans="1:6" x14ac:dyDescent="0.2">
      <c r="E65" s="14"/>
      <c r="F65" s="14"/>
    </row>
    <row r="66" spans="1:6" x14ac:dyDescent="0.2">
      <c r="E66" s="14"/>
      <c r="F66" s="14"/>
    </row>
    <row r="67" spans="1:6" x14ac:dyDescent="0.2">
      <c r="A67" s="14"/>
      <c r="B67" s="14"/>
      <c r="C67" s="14"/>
      <c r="D67" s="14"/>
      <c r="E67" s="14"/>
      <c r="F67" s="14"/>
    </row>
    <row r="68" spans="1:6" x14ac:dyDescent="0.2">
      <c r="A68" s="14"/>
      <c r="B68" s="14"/>
      <c r="C68" s="14"/>
      <c r="D68" s="14"/>
      <c r="E68" s="14"/>
      <c r="F68" s="14"/>
    </row>
    <row r="69" spans="1:6" x14ac:dyDescent="0.2">
      <c r="A69" s="14"/>
      <c r="B69" s="14"/>
      <c r="C69" s="14"/>
      <c r="D69" s="14"/>
      <c r="E69" s="14"/>
      <c r="F69" s="14"/>
    </row>
    <row r="70" spans="1:6" x14ac:dyDescent="0.2">
      <c r="A70" s="14"/>
      <c r="B70" s="14"/>
      <c r="C70" s="14"/>
      <c r="D70" s="14"/>
      <c r="E70" s="14"/>
      <c r="F70" s="14"/>
    </row>
    <row r="71" spans="1:6" x14ac:dyDescent="0.2">
      <c r="A71" s="14"/>
      <c r="B71" s="14"/>
      <c r="C71" s="14"/>
      <c r="D71" s="14"/>
      <c r="E71" s="14"/>
      <c r="F71" s="14"/>
    </row>
    <row r="72" spans="1:6" x14ac:dyDescent="0.2">
      <c r="A72" s="14"/>
      <c r="B72" s="14"/>
      <c r="C72" s="14"/>
      <c r="D72" s="14"/>
      <c r="E72" s="14"/>
      <c r="F72" s="14"/>
    </row>
    <row r="73" spans="1:6" x14ac:dyDescent="0.2">
      <c r="A73" s="14"/>
      <c r="B73" s="14"/>
      <c r="C73" s="14"/>
      <c r="D73" s="14"/>
      <c r="E73" s="14"/>
      <c r="F73" s="14"/>
    </row>
    <row r="74" spans="1:6" x14ac:dyDescent="0.2">
      <c r="A74" s="14"/>
      <c r="B74" s="14"/>
      <c r="C74" s="14"/>
      <c r="D74" s="14"/>
      <c r="E74" s="14"/>
      <c r="F74" s="14"/>
    </row>
    <row r="75" spans="1:6" x14ac:dyDescent="0.2">
      <c r="A75" s="14"/>
      <c r="B75" s="14"/>
      <c r="C75" s="14"/>
      <c r="D75" s="14"/>
      <c r="E75" s="14"/>
      <c r="F75" s="14"/>
    </row>
    <row r="76" spans="1:6" x14ac:dyDescent="0.2">
      <c r="A76" s="14"/>
      <c r="B76" s="14"/>
      <c r="C76" s="14"/>
      <c r="D76" s="14"/>
      <c r="E76" s="14"/>
      <c r="F76" s="14"/>
    </row>
    <row r="77" spans="1:6" x14ac:dyDescent="0.2">
      <c r="A77" s="14"/>
      <c r="B77" s="14"/>
      <c r="C77" s="14"/>
      <c r="D77" s="14"/>
      <c r="E77" s="14"/>
      <c r="F77" s="14"/>
    </row>
    <row r="78" spans="1:6" x14ac:dyDescent="0.2">
      <c r="A78" s="14"/>
      <c r="B78" s="14"/>
      <c r="C78" s="14"/>
      <c r="D78" s="14"/>
      <c r="E78" s="14"/>
      <c r="F78" s="14"/>
    </row>
    <row r="79" spans="1:6" x14ac:dyDescent="0.2">
      <c r="A79" s="14"/>
      <c r="B79" s="14"/>
      <c r="C79" s="14"/>
      <c r="D79" s="14"/>
      <c r="E79" s="14"/>
      <c r="F79" s="14"/>
    </row>
    <row r="80" spans="1:6" x14ac:dyDescent="0.2">
      <c r="A80" s="14"/>
      <c r="B80" s="14"/>
      <c r="C80" s="14"/>
      <c r="D80" s="14"/>
      <c r="E80" s="14"/>
      <c r="F80" s="14"/>
    </row>
    <row r="81" spans="1:6" x14ac:dyDescent="0.2">
      <c r="A81" s="14"/>
      <c r="B81" s="14"/>
      <c r="C81" s="14"/>
      <c r="D81" s="14"/>
      <c r="E81" s="14"/>
      <c r="F81" s="14"/>
    </row>
    <row r="82" spans="1:6" x14ac:dyDescent="0.2">
      <c r="A82" s="14"/>
      <c r="B82" s="14"/>
      <c r="C82" s="14"/>
      <c r="D82" s="14"/>
      <c r="E82" s="14"/>
      <c r="F82" s="14"/>
    </row>
    <row r="83" spans="1:6" x14ac:dyDescent="0.2">
      <c r="A83" s="14"/>
      <c r="B83" s="14"/>
      <c r="C83" s="14"/>
      <c r="D83" s="14"/>
      <c r="E83" s="14"/>
      <c r="F83" s="14"/>
    </row>
    <row r="84" spans="1:6" x14ac:dyDescent="0.2">
      <c r="A84" s="14"/>
      <c r="B84" s="14"/>
      <c r="C84" s="14"/>
      <c r="D84" s="14"/>
      <c r="E84" s="14"/>
      <c r="F84" s="14"/>
    </row>
    <row r="85" spans="1:6" x14ac:dyDescent="0.2">
      <c r="A85" s="14"/>
      <c r="B85" s="14"/>
      <c r="C85" s="14"/>
      <c r="D85" s="14"/>
      <c r="E85" s="14"/>
      <c r="F85" s="14"/>
    </row>
    <row r="86" spans="1:6" x14ac:dyDescent="0.2">
      <c r="A86" s="14"/>
      <c r="B86" s="14"/>
      <c r="C86" s="14"/>
      <c r="D86" s="14"/>
      <c r="E86" s="14"/>
      <c r="F86" s="14"/>
    </row>
    <row r="87" spans="1:6" x14ac:dyDescent="0.2">
      <c r="A87" s="14"/>
      <c r="B87" s="14"/>
      <c r="C87" s="14"/>
      <c r="D87" s="14"/>
      <c r="E87" s="14"/>
      <c r="F87" s="14"/>
    </row>
    <row r="88" spans="1:6" x14ac:dyDescent="0.2">
      <c r="A88" s="14"/>
      <c r="B88" s="14"/>
      <c r="C88" s="14"/>
      <c r="D88" s="14"/>
      <c r="E88" s="14"/>
      <c r="F88" s="14"/>
    </row>
    <row r="89" spans="1:6" x14ac:dyDescent="0.2">
      <c r="A89" s="14"/>
      <c r="B89" s="14"/>
      <c r="C89" s="14"/>
      <c r="D89" s="14"/>
      <c r="E89" s="14"/>
      <c r="F89" s="14"/>
    </row>
    <row r="90" spans="1:6" x14ac:dyDescent="0.2">
      <c r="A90" s="14"/>
      <c r="B90" s="14"/>
      <c r="C90" s="14"/>
      <c r="D90" s="14"/>
      <c r="E90" s="14"/>
      <c r="F90" s="14"/>
    </row>
    <row r="91" spans="1:6" x14ac:dyDescent="0.2">
      <c r="A91" s="14"/>
      <c r="B91" s="14"/>
      <c r="C91" s="14"/>
      <c r="D91" s="14"/>
      <c r="E91" s="14"/>
      <c r="F91" s="14"/>
    </row>
    <row r="92" spans="1:6" x14ac:dyDescent="0.2">
      <c r="A92" s="14"/>
      <c r="B92" s="14"/>
      <c r="C92" s="14"/>
      <c r="D92" s="14"/>
      <c r="E92" s="14"/>
      <c r="F92" s="14"/>
    </row>
    <row r="93" spans="1:6" x14ac:dyDescent="0.2">
      <c r="A93" s="14"/>
      <c r="B93" s="14"/>
      <c r="C93" s="14"/>
      <c r="D93" s="14"/>
      <c r="E93" s="14"/>
      <c r="F93" s="14"/>
    </row>
    <row r="94" spans="1:6" x14ac:dyDescent="0.2">
      <c r="A94" s="14"/>
      <c r="B94" s="14"/>
      <c r="C94" s="14"/>
      <c r="D94" s="14"/>
      <c r="E94" s="14"/>
      <c r="F94" s="14"/>
    </row>
    <row r="95" spans="1:6" x14ac:dyDescent="0.2">
      <c r="A95" s="14"/>
      <c r="B95" s="14"/>
      <c r="C95" s="14"/>
      <c r="D95" s="14"/>
      <c r="E95" s="14"/>
      <c r="F95" s="14"/>
    </row>
    <row r="96" spans="1:6" x14ac:dyDescent="0.2">
      <c r="A96" s="14"/>
      <c r="B96" s="14"/>
      <c r="C96" s="14"/>
      <c r="D96" s="14"/>
      <c r="E96" s="14"/>
      <c r="F96" s="14"/>
    </row>
    <row r="97" spans="1:6" x14ac:dyDescent="0.2">
      <c r="A97" s="14"/>
      <c r="B97" s="14"/>
      <c r="C97" s="14"/>
      <c r="D97" s="14"/>
      <c r="E97" s="14"/>
      <c r="F97" s="14"/>
    </row>
    <row r="98" spans="1:6" x14ac:dyDescent="0.2">
      <c r="A98" s="14"/>
      <c r="B98" s="14"/>
      <c r="C98" s="14"/>
      <c r="D98" s="14"/>
      <c r="E98" s="14"/>
      <c r="F98" s="14"/>
    </row>
    <row r="99" spans="1:6" x14ac:dyDescent="0.2">
      <c r="A99" s="14"/>
      <c r="B99" s="14"/>
      <c r="C99" s="14"/>
      <c r="D99" s="14"/>
      <c r="E99" s="14"/>
      <c r="F99" s="14"/>
    </row>
    <row r="100" spans="1:6" x14ac:dyDescent="0.2">
      <c r="A100" s="14"/>
      <c r="B100" s="14"/>
      <c r="C100" s="14"/>
      <c r="D100" s="14"/>
      <c r="E100" s="14"/>
      <c r="F100" s="14"/>
    </row>
    <row r="101" spans="1:6" x14ac:dyDescent="0.2">
      <c r="A101" s="14"/>
      <c r="B101" s="14"/>
      <c r="C101" s="14"/>
      <c r="D101" s="14"/>
      <c r="E101" s="14"/>
      <c r="F101" s="14"/>
    </row>
    <row r="102" spans="1:6" x14ac:dyDescent="0.2">
      <c r="A102" s="14"/>
      <c r="B102" s="14"/>
      <c r="C102" s="14"/>
      <c r="D102" s="14"/>
      <c r="E102" s="14"/>
      <c r="F102" s="14"/>
    </row>
    <row r="103" spans="1:6" x14ac:dyDescent="0.2">
      <c r="A103" s="14"/>
      <c r="B103" s="14"/>
      <c r="C103" s="14"/>
      <c r="D103" s="14"/>
      <c r="E103" s="14"/>
      <c r="F103" s="14"/>
    </row>
    <row r="104" spans="1:6" x14ac:dyDescent="0.2">
      <c r="A104" s="14"/>
      <c r="B104" s="14"/>
      <c r="C104" s="14"/>
      <c r="D104" s="14"/>
      <c r="E104" s="14"/>
      <c r="F104" s="14"/>
    </row>
    <row r="105" spans="1:6" x14ac:dyDescent="0.2">
      <c r="A105" s="14"/>
      <c r="B105" s="14"/>
      <c r="C105" s="14"/>
      <c r="D105" s="14"/>
      <c r="E105" s="14"/>
      <c r="F105" s="14"/>
    </row>
    <row r="106" spans="1:6" x14ac:dyDescent="0.2">
      <c r="A106" s="14"/>
      <c r="B106" s="14"/>
      <c r="C106" s="14"/>
      <c r="D106" s="14"/>
      <c r="E106" s="14"/>
      <c r="F106" s="14"/>
    </row>
    <row r="107" spans="1:6" x14ac:dyDescent="0.2">
      <c r="A107" s="14"/>
      <c r="B107" s="14"/>
      <c r="C107" s="14"/>
      <c r="D107" s="14"/>
      <c r="E107" s="14"/>
      <c r="F107" s="14"/>
    </row>
    <row r="108" spans="1:6" x14ac:dyDescent="0.2">
      <c r="A108" s="14"/>
      <c r="B108" s="14"/>
      <c r="C108" s="14"/>
      <c r="D108" s="14"/>
      <c r="E108" s="14"/>
      <c r="F108" s="14"/>
    </row>
    <row r="109" spans="1:6" x14ac:dyDescent="0.2">
      <c r="A109" s="14"/>
      <c r="B109" s="14"/>
      <c r="C109" s="14"/>
      <c r="D109" s="14"/>
      <c r="E109" s="14"/>
      <c r="F109" s="14"/>
    </row>
    <row r="110" spans="1:6" x14ac:dyDescent="0.2">
      <c r="A110" s="14"/>
      <c r="B110" s="14"/>
      <c r="C110" s="14"/>
      <c r="D110" s="14"/>
      <c r="E110" s="14"/>
      <c r="F110" s="14"/>
    </row>
    <row r="111" spans="1:6" x14ac:dyDescent="0.2">
      <c r="A111" s="14"/>
      <c r="B111" s="14"/>
      <c r="C111" s="14"/>
      <c r="D111" s="14"/>
      <c r="E111" s="14"/>
      <c r="F111" s="14"/>
    </row>
    <row r="112" spans="1:6" x14ac:dyDescent="0.2">
      <c r="A112" s="14"/>
      <c r="B112" s="14"/>
      <c r="C112" s="14"/>
      <c r="D112" s="14"/>
      <c r="E112" s="14"/>
      <c r="F112" s="14"/>
    </row>
    <row r="113" spans="1:6" x14ac:dyDescent="0.2">
      <c r="A113" s="14"/>
      <c r="B113" s="14"/>
      <c r="C113" s="14"/>
      <c r="D113" s="14"/>
      <c r="E113" s="14"/>
      <c r="F113" s="14"/>
    </row>
    <row r="114" spans="1:6" x14ac:dyDescent="0.2">
      <c r="A114" s="14"/>
      <c r="B114" s="14"/>
      <c r="C114" s="14"/>
      <c r="D114" s="14"/>
      <c r="E114" s="14"/>
      <c r="F114" s="14"/>
    </row>
    <row r="115" spans="1:6" x14ac:dyDescent="0.2">
      <c r="A115" s="14"/>
      <c r="B115" s="14"/>
      <c r="C115" s="14"/>
      <c r="D115" s="14"/>
      <c r="E115" s="14"/>
      <c r="F115" s="14"/>
    </row>
    <row r="116" spans="1:6" x14ac:dyDescent="0.2">
      <c r="A116" s="14"/>
      <c r="B116" s="14"/>
      <c r="C116" s="14"/>
      <c r="D116" s="14"/>
      <c r="E116" s="14"/>
      <c r="F116" s="14"/>
    </row>
    <row r="117" spans="1:6" x14ac:dyDescent="0.2">
      <c r="A117" s="14"/>
      <c r="B117" s="14"/>
      <c r="C117" s="14"/>
      <c r="D117" s="14"/>
      <c r="E117" s="14"/>
      <c r="F117" s="14"/>
    </row>
    <row r="118" spans="1:6" x14ac:dyDescent="0.2">
      <c r="A118" s="14"/>
      <c r="B118" s="14"/>
      <c r="C118" s="14"/>
      <c r="D118" s="14"/>
      <c r="E118" s="14"/>
      <c r="F118" s="14"/>
    </row>
    <row r="119" spans="1:6" x14ac:dyDescent="0.2">
      <c r="A119" s="14"/>
      <c r="B119" s="14"/>
      <c r="C119" s="14"/>
      <c r="D119" s="14"/>
      <c r="E119" s="14"/>
      <c r="F119" s="14"/>
    </row>
    <row r="120" spans="1:6" x14ac:dyDescent="0.2">
      <c r="A120" s="14"/>
      <c r="B120" s="14"/>
      <c r="C120" s="14"/>
      <c r="D120" s="14"/>
      <c r="E120" s="14"/>
      <c r="F120" s="14"/>
    </row>
    <row r="121" spans="1:6" x14ac:dyDescent="0.2">
      <c r="A121" s="14"/>
      <c r="B121" s="14"/>
      <c r="C121" s="14"/>
      <c r="D121" s="14"/>
      <c r="E121" s="14"/>
      <c r="F121" s="14"/>
    </row>
    <row r="122" spans="1:6" x14ac:dyDescent="0.2">
      <c r="A122" s="14"/>
      <c r="B122" s="14"/>
      <c r="C122" s="14"/>
      <c r="D122" s="14"/>
      <c r="E122" s="14"/>
      <c r="F122" s="14"/>
    </row>
    <row r="123" spans="1:6" x14ac:dyDescent="0.2">
      <c r="A123" s="14"/>
      <c r="B123" s="14"/>
      <c r="C123" s="14"/>
      <c r="D123" s="14"/>
      <c r="E123" s="14"/>
      <c r="F123" s="14"/>
    </row>
    <row r="124" spans="1:6" x14ac:dyDescent="0.2">
      <c r="A124" s="14"/>
      <c r="B124" s="14"/>
      <c r="C124" s="14"/>
      <c r="D124" s="14"/>
      <c r="E124" s="14"/>
      <c r="F124" s="14"/>
    </row>
    <row r="125" spans="1:6" x14ac:dyDescent="0.2">
      <c r="A125" s="14"/>
      <c r="B125" s="14"/>
      <c r="C125" s="14"/>
      <c r="D125" s="14"/>
      <c r="E125" s="14"/>
      <c r="F125" s="14"/>
    </row>
    <row r="126" spans="1:6" x14ac:dyDescent="0.2">
      <c r="A126" s="14"/>
      <c r="B126" s="14"/>
      <c r="C126" s="14"/>
      <c r="D126" s="14"/>
      <c r="E126" s="14"/>
      <c r="F126" s="14"/>
    </row>
    <row r="127" spans="1:6" x14ac:dyDescent="0.2">
      <c r="A127" s="14"/>
      <c r="B127" s="14"/>
      <c r="C127" s="14"/>
      <c r="D127" s="14"/>
      <c r="E127" s="14"/>
      <c r="F127" s="14"/>
    </row>
    <row r="128" spans="1:6" x14ac:dyDescent="0.2">
      <c r="A128" s="14"/>
      <c r="B128" s="14"/>
      <c r="C128" s="14"/>
      <c r="D128" s="14"/>
      <c r="E128" s="14"/>
      <c r="F128" s="14"/>
    </row>
    <row r="129" spans="1:6" x14ac:dyDescent="0.2">
      <c r="A129" s="14"/>
      <c r="B129" s="14"/>
      <c r="C129" s="14"/>
      <c r="D129" s="14"/>
      <c r="E129" s="14"/>
      <c r="F129" s="14"/>
    </row>
    <row r="130" spans="1:6" x14ac:dyDescent="0.2">
      <c r="A130" s="14"/>
      <c r="B130" s="14"/>
      <c r="C130" s="14"/>
      <c r="D130" s="14"/>
      <c r="E130" s="14"/>
      <c r="F130" s="14"/>
    </row>
    <row r="131" spans="1:6" x14ac:dyDescent="0.2">
      <c r="A131" s="14"/>
      <c r="B131" s="14"/>
      <c r="C131" s="14"/>
      <c r="D131" s="14"/>
      <c r="E131" s="14"/>
      <c r="F131" s="14"/>
    </row>
    <row r="132" spans="1:6" x14ac:dyDescent="0.2">
      <c r="A132" s="14"/>
      <c r="B132" s="14"/>
      <c r="C132" s="14"/>
      <c r="D132" s="14"/>
      <c r="E132" s="14"/>
      <c r="F132" s="14"/>
    </row>
    <row r="133" spans="1:6" x14ac:dyDescent="0.2">
      <c r="A133" s="14"/>
      <c r="B133" s="14"/>
      <c r="C133" s="14"/>
      <c r="D133" s="14"/>
      <c r="E133" s="14"/>
      <c r="F133" s="14"/>
    </row>
    <row r="134" spans="1:6" x14ac:dyDescent="0.2">
      <c r="A134" s="14"/>
      <c r="B134" s="14"/>
      <c r="C134" s="14"/>
      <c r="D134" s="14"/>
      <c r="E134" s="14"/>
      <c r="F134" s="14"/>
    </row>
    <row r="135" spans="1:6" x14ac:dyDescent="0.2">
      <c r="A135" s="14"/>
      <c r="B135" s="14"/>
      <c r="C135" s="14"/>
      <c r="D135" s="14"/>
      <c r="E135" s="14"/>
      <c r="F135" s="14"/>
    </row>
    <row r="136" spans="1:6" x14ac:dyDescent="0.2">
      <c r="A136" s="14"/>
      <c r="B136" s="14"/>
      <c r="C136" s="14"/>
      <c r="D136" s="14"/>
      <c r="E136" s="14"/>
      <c r="F136" s="14"/>
    </row>
    <row r="137" spans="1:6" x14ac:dyDescent="0.2">
      <c r="A137" s="14"/>
      <c r="B137" s="14"/>
      <c r="C137" s="14"/>
      <c r="D137" s="14"/>
      <c r="E137" s="14"/>
      <c r="F137" s="14"/>
    </row>
    <row r="138" spans="1:6" x14ac:dyDescent="0.2">
      <c r="A138" s="14"/>
      <c r="B138" s="14"/>
      <c r="C138" s="14"/>
      <c r="D138" s="14"/>
      <c r="E138" s="14"/>
      <c r="F138" s="14"/>
    </row>
    <row r="139" spans="1:6" x14ac:dyDescent="0.2">
      <c r="A139" s="14"/>
      <c r="B139" s="14"/>
      <c r="C139" s="14"/>
      <c r="D139" s="14"/>
      <c r="E139" s="14"/>
      <c r="F139" s="14"/>
    </row>
    <row r="140" spans="1:6" x14ac:dyDescent="0.2">
      <c r="A140" s="14"/>
      <c r="B140" s="14"/>
      <c r="C140" s="14"/>
      <c r="D140" s="14"/>
      <c r="E140" s="14"/>
      <c r="F140" s="14"/>
    </row>
    <row r="141" spans="1:6" x14ac:dyDescent="0.2">
      <c r="A141" s="14"/>
      <c r="B141" s="14"/>
      <c r="C141" s="14"/>
      <c r="D141" s="14"/>
      <c r="E141" s="14"/>
      <c r="F141" s="14"/>
    </row>
    <row r="142" spans="1:6" x14ac:dyDescent="0.2">
      <c r="A142" s="14"/>
      <c r="B142" s="14"/>
      <c r="C142" s="14"/>
      <c r="D142" s="14"/>
      <c r="E142" s="14"/>
      <c r="F142" s="14"/>
    </row>
    <row r="143" spans="1:6" x14ac:dyDescent="0.2">
      <c r="A143" s="14"/>
      <c r="B143" s="14"/>
      <c r="C143" s="14"/>
      <c r="D143" s="14"/>
      <c r="E143" s="14"/>
      <c r="F143" s="14"/>
    </row>
    <row r="144" spans="1:6" x14ac:dyDescent="0.2">
      <c r="A144" s="14"/>
      <c r="B144" s="14"/>
      <c r="C144" s="14"/>
      <c r="D144" s="14"/>
      <c r="E144" s="14"/>
      <c r="F144" s="14"/>
    </row>
    <row r="145" spans="1:6" x14ac:dyDescent="0.2">
      <c r="A145" s="14"/>
      <c r="B145" s="14"/>
      <c r="C145" s="14"/>
      <c r="D145" s="14"/>
      <c r="E145" s="14"/>
      <c r="F145" s="14"/>
    </row>
    <row r="146" spans="1:6" x14ac:dyDescent="0.2">
      <c r="A146" s="14"/>
      <c r="B146" s="14"/>
      <c r="C146" s="14"/>
      <c r="D146" s="14"/>
      <c r="E146" s="14"/>
      <c r="F146" s="14"/>
    </row>
    <row r="147" spans="1:6" x14ac:dyDescent="0.2">
      <c r="A147" s="14"/>
      <c r="B147" s="14"/>
      <c r="C147" s="14"/>
      <c r="D147" s="14"/>
      <c r="E147" s="14"/>
      <c r="F147" s="14"/>
    </row>
    <row r="148" spans="1:6" x14ac:dyDescent="0.2">
      <c r="A148" s="14"/>
      <c r="B148" s="14"/>
      <c r="C148" s="14"/>
      <c r="D148" s="14"/>
      <c r="E148" s="14"/>
      <c r="F148" s="14"/>
    </row>
    <row r="149" spans="1:6" x14ac:dyDescent="0.2">
      <c r="A149" s="14"/>
      <c r="B149" s="14"/>
      <c r="C149" s="14"/>
      <c r="D149" s="14"/>
      <c r="E149" s="14"/>
      <c r="F149" s="14"/>
    </row>
    <row r="150" spans="1:6" x14ac:dyDescent="0.2">
      <c r="A150" s="14"/>
      <c r="B150" s="14"/>
      <c r="C150" s="14"/>
      <c r="D150" s="14"/>
      <c r="E150" s="14"/>
      <c r="F150" s="14"/>
    </row>
    <row r="151" spans="1:6" x14ac:dyDescent="0.2">
      <c r="A151" s="14"/>
      <c r="B151" s="14"/>
      <c r="C151" s="14"/>
      <c r="D151" s="14"/>
      <c r="E151" s="14"/>
      <c r="F151" s="14"/>
    </row>
    <row r="152" spans="1:6" x14ac:dyDescent="0.2">
      <c r="A152" s="14"/>
      <c r="B152" s="14"/>
      <c r="C152" s="14"/>
      <c r="D152" s="14"/>
      <c r="E152" s="14"/>
      <c r="F152" s="14"/>
    </row>
    <row r="153" spans="1:6" x14ac:dyDescent="0.2">
      <c r="A153" s="14"/>
      <c r="B153" s="14"/>
      <c r="C153" s="14"/>
      <c r="D153" s="14"/>
      <c r="E153" s="14"/>
      <c r="F153" s="14"/>
    </row>
    <row r="154" spans="1:6" x14ac:dyDescent="0.2">
      <c r="A154" s="14"/>
      <c r="B154" s="14"/>
      <c r="C154" s="14"/>
      <c r="D154" s="14"/>
      <c r="E154" s="14"/>
      <c r="F154" s="14"/>
    </row>
    <row r="155" spans="1:6" x14ac:dyDescent="0.2">
      <c r="A155" s="14"/>
      <c r="B155" s="14"/>
      <c r="C155" s="14"/>
      <c r="D155" s="14"/>
      <c r="E155" s="14"/>
      <c r="F155" s="14"/>
    </row>
    <row r="156" spans="1:6" x14ac:dyDescent="0.2">
      <c r="A156" s="14"/>
      <c r="B156" s="14"/>
      <c r="C156" s="14"/>
      <c r="D156" s="14"/>
      <c r="E156" s="14"/>
      <c r="F156" s="14"/>
    </row>
    <row r="157" spans="1:6" x14ac:dyDescent="0.2">
      <c r="A157" s="14"/>
      <c r="B157" s="14"/>
      <c r="C157" s="14"/>
      <c r="D157" s="14"/>
      <c r="E157" s="14"/>
      <c r="F157" s="14"/>
    </row>
    <row r="158" spans="1:6" x14ac:dyDescent="0.2">
      <c r="A158" s="14"/>
      <c r="B158" s="14"/>
      <c r="C158" s="14"/>
      <c r="D158" s="14"/>
      <c r="E158" s="14"/>
      <c r="F158" s="14"/>
    </row>
    <row r="159" spans="1:6" x14ac:dyDescent="0.2">
      <c r="A159" s="14"/>
      <c r="B159" s="14"/>
      <c r="C159" s="14"/>
      <c r="D159" s="14"/>
      <c r="E159" s="14"/>
      <c r="F159" s="14"/>
    </row>
    <row r="160" spans="1:6" x14ac:dyDescent="0.2">
      <c r="A160" s="14"/>
      <c r="B160" s="14"/>
      <c r="C160" s="14"/>
      <c r="D160" s="14"/>
      <c r="E160" s="14"/>
      <c r="F160" s="14"/>
    </row>
    <row r="161" spans="1:6" x14ac:dyDescent="0.2">
      <c r="A161" s="14"/>
      <c r="B161" s="14"/>
      <c r="C161" s="14"/>
      <c r="D161" s="14"/>
      <c r="E161" s="14"/>
      <c r="F161" s="14"/>
    </row>
    <row r="162" spans="1:6" x14ac:dyDescent="0.2">
      <c r="A162" s="14"/>
      <c r="B162" s="14"/>
      <c r="C162" s="14"/>
      <c r="D162" s="14"/>
      <c r="E162" s="14"/>
      <c r="F162" s="14"/>
    </row>
    <row r="163" spans="1:6" x14ac:dyDescent="0.2">
      <c r="A163" s="14"/>
      <c r="B163" s="14"/>
      <c r="C163" s="14"/>
      <c r="D163" s="14"/>
      <c r="E163" s="14"/>
      <c r="F163" s="14"/>
    </row>
    <row r="164" spans="1:6" x14ac:dyDescent="0.2">
      <c r="A164" s="14"/>
      <c r="B164" s="14"/>
      <c r="C164" s="14"/>
      <c r="D164" s="14"/>
      <c r="E164" s="14"/>
      <c r="F164" s="14"/>
    </row>
    <row r="165" spans="1:6" x14ac:dyDescent="0.2">
      <c r="A165" s="14"/>
      <c r="B165" s="14"/>
      <c r="C165" s="14"/>
      <c r="D165" s="14"/>
      <c r="E165" s="14"/>
      <c r="F165" s="14"/>
    </row>
    <row r="166" spans="1:6" x14ac:dyDescent="0.2">
      <c r="A166" s="14"/>
      <c r="B166" s="14"/>
      <c r="C166" s="14"/>
      <c r="D166" s="14"/>
      <c r="E166" s="14"/>
      <c r="F166" s="14"/>
    </row>
    <row r="167" spans="1:6" x14ac:dyDescent="0.2">
      <c r="A167" s="14"/>
      <c r="B167" s="14"/>
      <c r="C167" s="14"/>
      <c r="D167" s="14"/>
      <c r="E167" s="14"/>
    </row>
    <row r="168" spans="1:6" x14ac:dyDescent="0.2">
      <c r="A168" s="14"/>
      <c r="B168" s="14"/>
      <c r="C168" s="14"/>
      <c r="D168" s="14"/>
      <c r="E168" s="14"/>
    </row>
    <row r="169" spans="1:6" x14ac:dyDescent="0.2">
      <c r="A169" s="14"/>
      <c r="B169" s="14"/>
      <c r="C169" s="14"/>
      <c r="D169" s="14"/>
      <c r="E169" s="14"/>
    </row>
  </sheetData>
  <sheetProtection formatCells="0" formatColumns="0" formatRows="0" insertColumns="0" insertRows="0" insertHyperlinks="0" deleteColumns="0" deleteRows="0" sort="0" autoFilter="0" pivotTables="0"/>
  <mergeCells count="36">
    <mergeCell ref="AG4:AK5"/>
    <mergeCell ref="A2:A4"/>
    <mergeCell ref="B1:H1"/>
    <mergeCell ref="B2:N2"/>
    <mergeCell ref="I1:K1"/>
    <mergeCell ref="L1:N1"/>
    <mergeCell ref="H4:I4"/>
    <mergeCell ref="AB1:AE1"/>
    <mergeCell ref="O2:AA2"/>
    <mergeCell ref="AB2:AK2"/>
    <mergeCell ref="AF1:AH1"/>
    <mergeCell ref="AI1:AK1"/>
    <mergeCell ref="O1:U1"/>
    <mergeCell ref="V1:X1"/>
    <mergeCell ref="Y1:AA1"/>
    <mergeCell ref="A5:A7"/>
    <mergeCell ref="H5:I5"/>
    <mergeCell ref="J4:M5"/>
    <mergeCell ref="T4:AA5"/>
    <mergeCell ref="AA22:AA23"/>
    <mergeCell ref="B6:M6"/>
    <mergeCell ref="N6:N7"/>
    <mergeCell ref="B14:M14"/>
    <mergeCell ref="N14:N15"/>
    <mergeCell ref="AA6:AA7"/>
    <mergeCell ref="O14:Z14"/>
    <mergeCell ref="AA14:AA15"/>
    <mergeCell ref="O6:Z6"/>
    <mergeCell ref="B47:M47"/>
    <mergeCell ref="N47:N48"/>
    <mergeCell ref="O47:Z47"/>
    <mergeCell ref="AA47:AA48"/>
    <mergeCell ref="A14:A15"/>
    <mergeCell ref="B22:M22"/>
    <mergeCell ref="N22:N23"/>
    <mergeCell ref="O22:Z22"/>
  </mergeCells>
  <phoneticPr fontId="20" type="noConversion"/>
  <pageMargins left="0.39370078740157483" right="0.39370078740157483" top="0.78740157480314965" bottom="0.59055118110236227" header="0.39370078740157483" footer="0.39370078740157483"/>
  <pageSetup scale="65" fitToWidth="3" orientation="landscape" blackAndWhite="1" horizontalDpi="4294967293" verticalDpi="300" r:id="rId1"/>
  <headerFooter alignWithMargins="0">
    <oddHeader>&amp;C&amp;"Arial,Negrita"&amp;7Estudio de Factibilidad para el establecimiento de un mercado de mariscos en Hermosillo, Sonora</oddHeader>
    <oddFooter>&amp;L&amp;"Arial,Normal"&amp;7&amp;F - Hoja: &amp;A&amp;C&amp;"Arial,Normal"&amp;7&amp;D&amp;R&amp;"Arial,Normal"&amp;7&amp;P de 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AA161"/>
  <sheetViews>
    <sheetView topLeftCell="B1" zoomScale="70" zoomScaleNormal="70" workbookViewId="0">
      <selection activeCell="C12" sqref="C12"/>
    </sheetView>
  </sheetViews>
  <sheetFormatPr baseColWidth="10" defaultColWidth="11" defaultRowHeight="15" x14ac:dyDescent="0.3"/>
  <cols>
    <col min="1" max="14" width="13.375" customWidth="1"/>
  </cols>
  <sheetData>
    <row r="2" spans="1:27" ht="16.5" x14ac:dyDescent="0.35">
      <c r="A2" s="1975" t="s">
        <v>427</v>
      </c>
      <c r="B2" s="1976"/>
      <c r="C2" s="1055" t="s">
        <v>553</v>
      </c>
      <c r="D2" s="1056">
        <v>2017</v>
      </c>
      <c r="E2" s="1055" t="s">
        <v>554</v>
      </c>
      <c r="F2" s="1057">
        <v>2</v>
      </c>
      <c r="G2" s="1058" t="s">
        <v>555</v>
      </c>
      <c r="H2" s="1057">
        <v>27</v>
      </c>
    </row>
    <row r="4" spans="1:27" ht="16.5" x14ac:dyDescent="0.3">
      <c r="A4" s="1167" t="s">
        <v>161</v>
      </c>
      <c r="B4" s="1167">
        <v>1</v>
      </c>
      <c r="C4" s="1167">
        <f t="shared" ref="C4:K4" si="0">+B4+1</f>
        <v>2</v>
      </c>
      <c r="D4" s="1167">
        <f t="shared" si="0"/>
        <v>3</v>
      </c>
      <c r="E4" s="1167">
        <f t="shared" si="0"/>
        <v>4</v>
      </c>
      <c r="F4" s="1167">
        <f t="shared" si="0"/>
        <v>5</v>
      </c>
      <c r="G4" s="1167">
        <f t="shared" si="0"/>
        <v>6</v>
      </c>
      <c r="H4" s="1167">
        <f t="shared" si="0"/>
        <v>7</v>
      </c>
      <c r="I4" s="1167">
        <f t="shared" si="0"/>
        <v>8</v>
      </c>
      <c r="J4" s="1167">
        <f t="shared" si="0"/>
        <v>9</v>
      </c>
      <c r="K4" s="1167">
        <f t="shared" si="0"/>
        <v>10</v>
      </c>
      <c r="X4" s="1042"/>
    </row>
    <row r="5" spans="1:27" ht="16.5" x14ac:dyDescent="0.3">
      <c r="A5" s="1179">
        <f>D2-1</f>
        <v>2016</v>
      </c>
      <c r="B5" s="1179">
        <f>+D2</f>
        <v>2017</v>
      </c>
      <c r="C5" s="1179">
        <f t="shared" ref="C5:K5" si="1">+B5+1</f>
        <v>2018</v>
      </c>
      <c r="D5" s="1179">
        <f t="shared" si="1"/>
        <v>2019</v>
      </c>
      <c r="E5" s="1179">
        <f t="shared" si="1"/>
        <v>2020</v>
      </c>
      <c r="F5" s="1179">
        <f t="shared" si="1"/>
        <v>2021</v>
      </c>
      <c r="G5" s="1179">
        <f t="shared" si="1"/>
        <v>2022</v>
      </c>
      <c r="H5" s="1179">
        <f t="shared" si="1"/>
        <v>2023</v>
      </c>
      <c r="I5" s="1179">
        <f t="shared" si="1"/>
        <v>2024</v>
      </c>
      <c r="J5" s="1179">
        <f t="shared" si="1"/>
        <v>2025</v>
      </c>
      <c r="K5" s="1179">
        <f t="shared" si="1"/>
        <v>2026</v>
      </c>
      <c r="X5" s="1043"/>
    </row>
    <row r="7" spans="1:27" ht="16.5" x14ac:dyDescent="0.35">
      <c r="A7" s="1975" t="s">
        <v>464</v>
      </c>
      <c r="B7" s="1977"/>
      <c r="C7" s="1977"/>
      <c r="D7" s="1977"/>
      <c r="E7" s="1977"/>
      <c r="F7" s="1977"/>
      <c r="G7" s="1977"/>
      <c r="H7" s="1977"/>
      <c r="I7" s="1977"/>
      <c r="J7" s="1977"/>
      <c r="K7" s="1977"/>
      <c r="L7" s="1977"/>
      <c r="M7" s="1977"/>
      <c r="N7" s="1976"/>
    </row>
    <row r="8" spans="1:27" ht="16.5" x14ac:dyDescent="0.35">
      <c r="A8" s="1047"/>
      <c r="B8" s="1048" t="s">
        <v>60</v>
      </c>
      <c r="C8" s="1048" t="s">
        <v>453</v>
      </c>
      <c r="D8" s="1048" t="s">
        <v>443</v>
      </c>
      <c r="E8" s="1048" t="s">
        <v>454</v>
      </c>
      <c r="F8" s="1048" t="s">
        <v>455</v>
      </c>
      <c r="G8" s="1048" t="s">
        <v>456</v>
      </c>
      <c r="H8" s="1048" t="s">
        <v>457</v>
      </c>
      <c r="I8" s="1048" t="s">
        <v>458</v>
      </c>
      <c r="J8" s="1048" t="s">
        <v>459</v>
      </c>
      <c r="K8" s="1048" t="s">
        <v>460</v>
      </c>
      <c r="L8" s="1048" t="s">
        <v>461</v>
      </c>
      <c r="M8" s="1048" t="s">
        <v>462</v>
      </c>
      <c r="N8" s="1053" t="s">
        <v>1</v>
      </c>
    </row>
    <row r="9" spans="1:27" x14ac:dyDescent="0.3">
      <c r="A9" s="1054" t="s">
        <v>314</v>
      </c>
      <c r="B9" s="1049">
        <v>0.22</v>
      </c>
      <c r="C9" s="1050">
        <v>0.23</v>
      </c>
      <c r="D9" s="1050">
        <v>0.35</v>
      </c>
      <c r="E9" s="1050">
        <v>0.63</v>
      </c>
      <c r="F9" s="1050">
        <v>0.68</v>
      </c>
      <c r="G9" s="1050">
        <v>1.26</v>
      </c>
      <c r="H9" s="1050">
        <v>2.11</v>
      </c>
      <c r="I9" s="1050">
        <v>2.27</v>
      </c>
      <c r="J9" s="1050">
        <v>2.02</v>
      </c>
      <c r="K9" s="1051">
        <v>1.48</v>
      </c>
      <c r="L9" s="1051">
        <v>0.53</v>
      </c>
      <c r="M9" s="1052">
        <v>0.22</v>
      </c>
      <c r="N9" s="1052">
        <f>SUM(B9:M9)</f>
        <v>12</v>
      </c>
    </row>
    <row r="10" spans="1:27" x14ac:dyDescent="0.3">
      <c r="A10" s="1054" t="s">
        <v>107</v>
      </c>
      <c r="B10" s="1049">
        <v>0.6</v>
      </c>
      <c r="C10" s="1050">
        <v>1</v>
      </c>
      <c r="D10" s="1050">
        <v>0.95</v>
      </c>
      <c r="E10" s="1050">
        <v>0.95</v>
      </c>
      <c r="F10" s="1050">
        <v>1.2</v>
      </c>
      <c r="G10" s="1050">
        <v>0.8</v>
      </c>
      <c r="H10" s="1050">
        <v>0.7</v>
      </c>
      <c r="I10" s="1050">
        <v>0.6</v>
      </c>
      <c r="J10" s="1050">
        <v>0.7</v>
      </c>
      <c r="K10" s="1051">
        <v>1.2</v>
      </c>
      <c r="L10" s="1051">
        <v>1.5</v>
      </c>
      <c r="M10" s="1052">
        <v>1.8</v>
      </c>
      <c r="N10" s="1052">
        <f>SUM(B10:M10)</f>
        <v>12</v>
      </c>
    </row>
    <row r="11" spans="1:27" x14ac:dyDescent="0.3">
      <c r="A11" s="1054" t="s">
        <v>465</v>
      </c>
      <c r="B11" s="1258">
        <v>31</v>
      </c>
      <c r="C11" s="1258">
        <v>28</v>
      </c>
      <c r="D11" s="1258">
        <v>31</v>
      </c>
      <c r="E11" s="1258">
        <v>30</v>
      </c>
      <c r="F11" s="1258">
        <v>31</v>
      </c>
      <c r="G11" s="1258">
        <v>30</v>
      </c>
      <c r="H11" s="1258">
        <v>31</v>
      </c>
      <c r="I11" s="1258">
        <v>31</v>
      </c>
      <c r="J11" s="1258">
        <v>30</v>
      </c>
      <c r="K11" s="1259">
        <v>31</v>
      </c>
      <c r="L11" s="1259">
        <v>30</v>
      </c>
      <c r="M11" s="1260">
        <v>31</v>
      </c>
      <c r="N11" s="1260">
        <f>SUM(B11:M11)</f>
        <v>365</v>
      </c>
    </row>
    <row r="12" spans="1:27" x14ac:dyDescent="0.3">
      <c r="A12" s="1054" t="s">
        <v>465</v>
      </c>
      <c r="B12" s="1258">
        <v>31</v>
      </c>
      <c r="C12" s="1258">
        <v>28</v>
      </c>
      <c r="D12" s="1258">
        <v>31</v>
      </c>
      <c r="E12" s="1258">
        <v>30</v>
      </c>
      <c r="F12" s="1258">
        <v>31</v>
      </c>
      <c r="G12" s="1258">
        <v>30</v>
      </c>
      <c r="H12" s="1258">
        <v>31</v>
      </c>
      <c r="I12" s="1258">
        <v>31</v>
      </c>
      <c r="J12" s="1258">
        <v>30</v>
      </c>
      <c r="K12" s="1259">
        <v>31</v>
      </c>
      <c r="L12" s="1259">
        <v>30</v>
      </c>
      <c r="M12" s="1260">
        <v>31</v>
      </c>
      <c r="N12" s="1260">
        <f>SUM(B12:M12)</f>
        <v>365</v>
      </c>
    </row>
    <row r="15" spans="1:27" ht="18.75" customHeight="1" x14ac:dyDescent="0.3">
      <c r="A15" s="1974" t="s">
        <v>51</v>
      </c>
      <c r="B15" s="1974"/>
      <c r="C15" s="1066" t="s">
        <v>161</v>
      </c>
      <c r="D15" s="1035" t="s">
        <v>117</v>
      </c>
      <c r="E15" s="1035" t="s">
        <v>118</v>
      </c>
      <c r="F15" s="1035" t="s">
        <v>119</v>
      </c>
      <c r="G15" s="1035" t="s">
        <v>120</v>
      </c>
      <c r="H15" s="1035" t="s">
        <v>121</v>
      </c>
      <c r="I15" s="1035" t="s">
        <v>122</v>
      </c>
      <c r="J15" s="1035" t="s">
        <v>123</v>
      </c>
      <c r="K15" s="1035" t="s">
        <v>124</v>
      </c>
      <c r="L15" s="1035" t="s">
        <v>125</v>
      </c>
      <c r="M15" s="1035" t="s">
        <v>126</v>
      </c>
      <c r="N15" s="1035" t="s">
        <v>127</v>
      </c>
      <c r="O15" s="1035" t="s">
        <v>128</v>
      </c>
      <c r="P15" s="1035" t="s">
        <v>117</v>
      </c>
      <c r="Q15" s="1035" t="s">
        <v>118</v>
      </c>
      <c r="R15" s="1035" t="s">
        <v>119</v>
      </c>
      <c r="S15" s="1035" t="s">
        <v>120</v>
      </c>
      <c r="T15" s="1035" t="s">
        <v>121</v>
      </c>
      <c r="U15" s="1035" t="s">
        <v>122</v>
      </c>
      <c r="V15" s="1035" t="s">
        <v>123</v>
      </c>
      <c r="W15" s="1035" t="s">
        <v>124</v>
      </c>
      <c r="X15" s="1035" t="s">
        <v>125</v>
      </c>
      <c r="Y15" s="1035" t="s">
        <v>126</v>
      </c>
      <c r="Z15" s="1035" t="s">
        <v>127</v>
      </c>
      <c r="AA15" s="1035" t="s">
        <v>128</v>
      </c>
    </row>
    <row r="16" spans="1:27" ht="18.75" customHeight="1" x14ac:dyDescent="0.3">
      <c r="A16" s="1978" t="s">
        <v>116</v>
      </c>
      <c r="B16" s="1978"/>
      <c r="C16" s="34">
        <f>+'4 Estado de Resultados'!C$28</f>
        <v>0</v>
      </c>
      <c r="D16" s="34">
        <f>+'4 Estado de Resultados'!D$28</f>
        <v>0</v>
      </c>
      <c r="E16" s="34">
        <f>+'4 Estado de Resultados'!E$28</f>
        <v>0</v>
      </c>
      <c r="F16" s="34">
        <f>+'4 Estado de Resultados'!F$28</f>
        <v>-243649</v>
      </c>
      <c r="G16" s="34">
        <f>+'4 Estado de Resultados'!G$28</f>
        <v>-225674</v>
      </c>
      <c r="H16" s="34">
        <f>+'4 Estado de Resultados'!H$28</f>
        <v>-398355</v>
      </c>
      <c r="I16" s="34">
        <f>+'4 Estado de Resultados'!I$28</f>
        <v>275747.58804373757</v>
      </c>
      <c r="J16" s="34">
        <f>+'4 Estado de Resultados'!J$28</f>
        <v>215624.9373481053</v>
      </c>
      <c r="K16" s="34">
        <f>+'4 Estado de Resultados'!K$28</f>
        <v>159543.34490496415</v>
      </c>
      <c r="L16" s="34">
        <f>+'4 Estado de Resultados'!L$28</f>
        <v>206235.58750494837</v>
      </c>
      <c r="M16" s="34">
        <f>+'4 Estado de Resultados'!M$28</f>
        <v>573570.59179088194</v>
      </c>
      <c r="N16" s="34">
        <f>+'4 Estado de Resultados'!N$28</f>
        <v>790997.21836688451</v>
      </c>
      <c r="O16" s="34">
        <f>+'4 Estado de Resultados'!O$28</f>
        <v>437316.25850107241</v>
      </c>
      <c r="P16" s="34">
        <f>+'4 Estado de Resultados'!Q$28</f>
        <v>171841.45879797975</v>
      </c>
      <c r="Q16" s="34">
        <f>+'4 Estado de Resultados'!R$28</f>
        <v>402114.71882154862</v>
      </c>
      <c r="R16" s="34">
        <f>+'4 Estado de Resultados'!S$28</f>
        <v>387954.35759511776</v>
      </c>
      <c r="S16" s="34">
        <f>+'4 Estado de Resultados'!T$28</f>
        <v>396601.66236868675</v>
      </c>
      <c r="T16" s="34">
        <f>+'4 Estado de Resultados'!U$28</f>
        <v>582546.96389225579</v>
      </c>
      <c r="U16" s="34">
        <f>+'4 Estado de Resultados'!W$28</f>
        <v>228189.87343939388</v>
      </c>
      <c r="V16" s="34">
        <f>+'4 Estado de Resultados'!X$28</f>
        <v>159670.69196296291</v>
      </c>
      <c r="W16" s="34">
        <f>+'4 Estado de Resultados'!Y$28</f>
        <v>207343.75098653196</v>
      </c>
      <c r="X16" s="34">
        <f>+'4 Estado de Resultados'!X$28</f>
        <v>159670.69196296291</v>
      </c>
      <c r="Y16" s="34">
        <f>+'4 Estado de Resultados'!Z$28</f>
        <v>579882.30901010102</v>
      </c>
      <c r="Z16" s="34">
        <f>+'4 Estado de Resultados'!AA$28</f>
        <v>798677.59903367003</v>
      </c>
      <c r="AA16" s="34">
        <f>+'4 Estado de Resultados'!AB$28</f>
        <v>-261862.47360360669</v>
      </c>
    </row>
    <row r="17" spans="1:27" ht="18.75" customHeight="1" x14ac:dyDescent="0.3">
      <c r="A17" s="1973" t="s">
        <v>163</v>
      </c>
      <c r="B17" s="1973"/>
      <c r="C17" s="34">
        <f>+'5 Estado de Fuentes y Usos'!B$54</f>
        <v>570000</v>
      </c>
      <c r="D17" s="34">
        <f>+'5 Estado de Fuentes y Usos'!C$54</f>
        <v>0</v>
      </c>
      <c r="E17" s="34">
        <f>+'5 Estado de Fuentes y Usos'!D$54</f>
        <v>570000</v>
      </c>
      <c r="F17" s="34">
        <f>+'5 Estado de Fuentes y Usos'!E$54</f>
        <v>-280219</v>
      </c>
      <c r="G17" s="34">
        <f>+'5 Estado de Fuentes y Usos'!F$54</f>
        <v>-482463</v>
      </c>
      <c r="H17" s="34">
        <f>+'5 Estado de Fuentes y Usos'!G$54</f>
        <v>-807388</v>
      </c>
      <c r="I17" s="34">
        <f>+'5 Estado de Fuentes y Usos'!H$54</f>
        <v>-358210.41195626243</v>
      </c>
      <c r="J17" s="34">
        <f>+'5 Estado de Fuentes y Usos'!I$54</f>
        <v>-119155.47460815718</v>
      </c>
      <c r="K17" s="34">
        <f>+'5 Estado de Fuentes y Usos'!J$54</f>
        <v>63817.870296806912</v>
      </c>
      <c r="L17" s="34">
        <f>+'5 Estado de Fuentes y Usos'!K$54</f>
        <v>291968.30628660391</v>
      </c>
      <c r="M17" s="34">
        <f>+'5 Estado de Fuentes y Usos'!L$54</f>
        <v>885601.8947104828</v>
      </c>
      <c r="N17" s="34">
        <f>+'5 Estado de Fuentes y Usos'!M$54</f>
        <v>1696662.1097103644</v>
      </c>
      <c r="O17" s="34">
        <f>+'5 Estado de Fuentes y Usos'!N$54</f>
        <v>2668838.0086363647</v>
      </c>
      <c r="P17" s="34">
        <f>+'5 Estado de Fuentes y Usos'!P$54</f>
        <v>-655079.20259932661</v>
      </c>
      <c r="Q17" s="34">
        <f>+'5 Estado de Fuentes y Usos'!Q$54</f>
        <v>-218723.15381144767</v>
      </c>
      <c r="R17" s="34">
        <f>+'5 Estado de Fuentes y Usos'!R$54</f>
        <v>203472.53375000018</v>
      </c>
      <c r="S17" s="34">
        <f>+'5 Estado de Fuentes y Usos'!S$54</f>
        <v>44518.882293086033</v>
      </c>
      <c r="T17" s="34">
        <f>+'5 Estado de Fuentes y Usos'!T$54</f>
        <v>661307.17615167215</v>
      </c>
      <c r="U17" s="34">
        <f>+'5 Estado de Fuentes y Usos'!U$54</f>
        <v>991793.04103382677</v>
      </c>
      <c r="V17" s="34">
        <f>+'5 Estado de Fuentes y Usos'!V$54</f>
        <v>1254224.2444395507</v>
      </c>
      <c r="W17" s="34">
        <f>+'5 Estado de Fuentes y Usos'!W$54</f>
        <v>1448136.2663688436</v>
      </c>
      <c r="X17" s="34">
        <f>+'5 Estado de Fuentes y Usos'!X$54</f>
        <v>1689721.3473217057</v>
      </c>
      <c r="Y17" s="34">
        <f>+'5 Estado de Fuentes y Usos'!Y$54</f>
        <v>2303844.9862981373</v>
      </c>
      <c r="Z17" s="34">
        <f>+'5 Estado de Fuentes y Usos'!Z$54</f>
        <v>3136763.9152981369</v>
      </c>
      <c r="AA17" s="34">
        <f>+'5 Estado de Fuentes y Usos'!AA$54</f>
        <v>4029401.421321705</v>
      </c>
    </row>
    <row r="18" spans="1:27" ht="18.75" customHeight="1" x14ac:dyDescent="0.3">
      <c r="A18" s="1973" t="s">
        <v>162</v>
      </c>
      <c r="B18" s="1973"/>
      <c r="C18" s="35">
        <f>+C17</f>
        <v>570000</v>
      </c>
      <c r="D18" s="34">
        <f>IF(D17=0,0,D17-$C$17)</f>
        <v>0</v>
      </c>
      <c r="E18" s="34">
        <f t="shared" ref="E18:AA18" si="2">IF(E17=0,0,IF(D17=0,E17-$C$17,E17-D17))</f>
        <v>0</v>
      </c>
      <c r="F18" s="34">
        <f t="shared" si="2"/>
        <v>-850219</v>
      </c>
      <c r="G18" s="34">
        <f t="shared" si="2"/>
        <v>-202244</v>
      </c>
      <c r="H18" s="34">
        <f t="shared" si="2"/>
        <v>-324925</v>
      </c>
      <c r="I18" s="34">
        <f t="shared" si="2"/>
        <v>449177.58804373757</v>
      </c>
      <c r="J18" s="34">
        <f t="shared" si="2"/>
        <v>239054.93734810525</v>
      </c>
      <c r="K18" s="34">
        <f t="shared" si="2"/>
        <v>182973.34490496409</v>
      </c>
      <c r="L18" s="34">
        <f t="shared" si="2"/>
        <v>228150.435989797</v>
      </c>
      <c r="M18" s="34">
        <f t="shared" si="2"/>
        <v>593633.58842387889</v>
      </c>
      <c r="N18" s="34">
        <f t="shared" si="2"/>
        <v>811060.21499988157</v>
      </c>
      <c r="O18" s="34">
        <f t="shared" si="2"/>
        <v>972175.89892600034</v>
      </c>
      <c r="P18" s="34">
        <f t="shared" si="2"/>
        <v>-3323917.2112356913</v>
      </c>
      <c r="Q18" s="34">
        <f t="shared" si="2"/>
        <v>436356.04878787894</v>
      </c>
      <c r="R18" s="34">
        <f t="shared" si="2"/>
        <v>422195.68756144785</v>
      </c>
      <c r="S18" s="34">
        <f t="shared" si="2"/>
        <v>-158953.65145691414</v>
      </c>
      <c r="T18" s="34">
        <f t="shared" si="2"/>
        <v>616788.29385858611</v>
      </c>
      <c r="U18" s="34">
        <f t="shared" si="2"/>
        <v>330485.86488215462</v>
      </c>
      <c r="V18" s="34">
        <f t="shared" si="2"/>
        <v>262431.20340572391</v>
      </c>
      <c r="W18" s="34">
        <f t="shared" si="2"/>
        <v>193912.02192929294</v>
      </c>
      <c r="X18" s="34">
        <f t="shared" si="2"/>
        <v>241585.08095286204</v>
      </c>
      <c r="Y18" s="34">
        <f t="shared" si="2"/>
        <v>614123.63897643168</v>
      </c>
      <c r="Z18" s="34">
        <f t="shared" si="2"/>
        <v>832918.92899999954</v>
      </c>
      <c r="AA18" s="34">
        <f t="shared" si="2"/>
        <v>892637.5060235681</v>
      </c>
    </row>
    <row r="19" spans="1:27" ht="18.75" customHeight="1" x14ac:dyDescent="0.3">
      <c r="A19" s="1973" t="s">
        <v>166</v>
      </c>
      <c r="B19" s="1973"/>
      <c r="C19" s="35">
        <f>+'3 Balance'!C$61</f>
        <v>1894000</v>
      </c>
      <c r="D19" s="35">
        <f>+'3 Balance'!D$61</f>
        <v>0</v>
      </c>
      <c r="E19" s="35">
        <f>+'3 Balance'!E$61</f>
        <v>1894000</v>
      </c>
      <c r="F19" s="35">
        <f>+'3 Balance'!F$61</f>
        <v>1750351</v>
      </c>
      <c r="G19" s="35">
        <f>+'3 Balance'!G$61</f>
        <v>1524677</v>
      </c>
      <c r="H19" s="35">
        <f>+'3 Balance'!H$61</f>
        <v>1176322</v>
      </c>
      <c r="I19" s="35">
        <f>+'3 Balance'!I$61</f>
        <v>1602069.5880437377</v>
      </c>
      <c r="J19" s="35">
        <f>+'3 Balance'!J$61</f>
        <v>1817694.5253918432</v>
      </c>
      <c r="K19" s="35">
        <f>+'3 Balance'!K$61</f>
        <v>1977237.8702968073</v>
      </c>
      <c r="L19" s="35">
        <f>+'3 Balance'!L$61</f>
        <v>2181958.3062866041</v>
      </c>
      <c r="M19" s="35">
        <f>+'3 Balance'!M$61</f>
        <v>2752161.8947104826</v>
      </c>
      <c r="N19" s="35">
        <f>+'3 Balance'!N$61</f>
        <v>3539792.1097103637</v>
      </c>
      <c r="O19" s="35">
        <f>+'3 Balance'!O$61</f>
        <v>4563538.0086363638</v>
      </c>
      <c r="P19" s="35">
        <f>+'3 Balance'!Q$61</f>
        <v>4732012.4640673399</v>
      </c>
      <c r="Q19" s="35">
        <f>+'3 Balance'!R$61</f>
        <v>5130760.1795218866</v>
      </c>
      <c r="R19" s="35">
        <f>+'3 Balance'!S$61</f>
        <v>5515347.5337499995</v>
      </c>
      <c r="S19" s="35">
        <f>+'3 Balance'!T$61</f>
        <v>5318785.5489597525</v>
      </c>
      <c r="T19" s="35">
        <f>+'3 Balance'!U$61</f>
        <v>5897965.5094850045</v>
      </c>
      <c r="U19" s="35">
        <f>+'3 Balance'!V$61</f>
        <v>6190843.0410338268</v>
      </c>
      <c r="V19" s="35">
        <f>+'3 Balance'!W$61</f>
        <v>6415665.9111062177</v>
      </c>
      <c r="W19" s="35">
        <f>+'3 Balance'!X$61</f>
        <v>6571969.5997021757</v>
      </c>
      <c r="X19" s="35">
        <f>+'3 Balance'!Y$61</f>
        <v>6775946.347321705</v>
      </c>
      <c r="Y19" s="35">
        <f>+'3 Balance'!Z$61</f>
        <v>7352461.6529648025</v>
      </c>
      <c r="Z19" s="35">
        <f>+'3 Balance'!AA$61</f>
        <v>8147772.2486314699</v>
      </c>
      <c r="AA19" s="35">
        <f>+'3 Balance'!AB$61</f>
        <v>9182801.421321705</v>
      </c>
    </row>
    <row r="20" spans="1:27" ht="18.75" customHeight="1" x14ac:dyDescent="0.3">
      <c r="A20" s="1973" t="s">
        <v>167</v>
      </c>
      <c r="B20" s="1973"/>
      <c r="C20" s="47">
        <f>+'3 Balance'!C$63</f>
        <v>0</v>
      </c>
      <c r="D20" s="47">
        <f>+'3 Balance'!D$63</f>
        <v>0</v>
      </c>
      <c r="E20" s="47">
        <f>+'3 Balance'!E$63</f>
        <v>0</v>
      </c>
      <c r="F20" s="47">
        <f>+'3 Balance'!F$63</f>
        <v>0</v>
      </c>
      <c r="G20" s="47">
        <f>+'3 Balance'!G$63</f>
        <v>0</v>
      </c>
      <c r="H20" s="47">
        <f>+'3 Balance'!H$63</f>
        <v>0</v>
      </c>
      <c r="I20" s="47">
        <f>+'3 Balance'!I$63</f>
        <v>0</v>
      </c>
      <c r="J20" s="47">
        <f>+'3 Balance'!J$63</f>
        <v>0</v>
      </c>
      <c r="K20" s="47">
        <f>+'3 Balance'!K$63</f>
        <v>0</v>
      </c>
      <c r="L20" s="47">
        <f>+'3 Balance'!L$63</f>
        <v>0</v>
      </c>
      <c r="M20" s="47">
        <f>+'3 Balance'!M$63</f>
        <v>0</v>
      </c>
      <c r="N20" s="47">
        <f>+'3 Balance'!N$63</f>
        <v>0</v>
      </c>
      <c r="O20" s="47">
        <f>+'3 Balance'!O$63</f>
        <v>0</v>
      </c>
      <c r="P20" s="47">
        <f>+'3 Balance'!Q$63</f>
        <v>0</v>
      </c>
      <c r="Q20" s="47">
        <f>+'3 Balance'!R$63</f>
        <v>0</v>
      </c>
      <c r="R20" s="47">
        <f>+'3 Balance'!S$63</f>
        <v>0</v>
      </c>
      <c r="S20" s="47">
        <f>+'3 Balance'!T$63</f>
        <v>0</v>
      </c>
      <c r="T20" s="47">
        <f>+'3 Balance'!U$63</f>
        <v>0</v>
      </c>
      <c r="U20" s="47">
        <f>+'3 Balance'!V$63</f>
        <v>0</v>
      </c>
      <c r="V20" s="47">
        <f>+'3 Balance'!W$63</f>
        <v>0</v>
      </c>
      <c r="W20" s="47">
        <f>+'3 Balance'!X$63</f>
        <v>0</v>
      </c>
      <c r="X20" s="47">
        <f>+'3 Balance'!Y$63</f>
        <v>0</v>
      </c>
      <c r="Y20" s="47">
        <f>+'3 Balance'!Z$63</f>
        <v>0</v>
      </c>
      <c r="Z20" s="47">
        <f>+'3 Balance'!AA$63</f>
        <v>0</v>
      </c>
      <c r="AA20" s="47">
        <f>+'3 Balance'!AB$63</f>
        <v>0</v>
      </c>
    </row>
    <row r="21" spans="1:27" ht="18.75" customHeight="1" x14ac:dyDescent="0.3">
      <c r="A21" s="1968" t="s">
        <v>484</v>
      </c>
      <c r="B21" s="1968"/>
      <c r="C21" s="1035">
        <f t="shared" ref="C21:L21" si="3">IF(C17&lt;0,C17,0)</f>
        <v>0</v>
      </c>
      <c r="D21" s="1035">
        <f t="shared" si="3"/>
        <v>0</v>
      </c>
      <c r="E21" s="1035">
        <f t="shared" si="3"/>
        <v>0</v>
      </c>
      <c r="F21" s="1035">
        <f t="shared" si="3"/>
        <v>-280219</v>
      </c>
      <c r="G21" s="1035">
        <f t="shared" si="3"/>
        <v>-482463</v>
      </c>
      <c r="H21" s="1035">
        <f t="shared" si="3"/>
        <v>-807388</v>
      </c>
      <c r="I21" s="1035">
        <f t="shared" si="3"/>
        <v>-358210.41195626243</v>
      </c>
      <c r="J21" s="1035">
        <f t="shared" si="3"/>
        <v>-119155.47460815718</v>
      </c>
      <c r="K21" s="1035">
        <f t="shared" si="3"/>
        <v>0</v>
      </c>
      <c r="L21" s="1035">
        <f t="shared" si="3"/>
        <v>0</v>
      </c>
      <c r="M21" s="1035">
        <f>IF(M17&lt;0,M17,0)</f>
        <v>0</v>
      </c>
      <c r="N21" s="1035">
        <f t="shared" ref="N21:AA21" si="4">IF(N17&lt;0,N17,0)</f>
        <v>0</v>
      </c>
      <c r="O21" s="1035">
        <f t="shared" si="4"/>
        <v>0</v>
      </c>
      <c r="P21" s="1035">
        <f t="shared" si="4"/>
        <v>-655079.20259932661</v>
      </c>
      <c r="Q21" s="1035">
        <f t="shared" si="4"/>
        <v>-218723.15381144767</v>
      </c>
      <c r="R21" s="1035">
        <f t="shared" si="4"/>
        <v>0</v>
      </c>
      <c r="S21" s="1035">
        <f t="shared" si="4"/>
        <v>0</v>
      </c>
      <c r="T21" s="1035">
        <f t="shared" si="4"/>
        <v>0</v>
      </c>
      <c r="U21" s="1035">
        <f t="shared" si="4"/>
        <v>0</v>
      </c>
      <c r="V21" s="1035">
        <f t="shared" si="4"/>
        <v>0</v>
      </c>
      <c r="W21" s="1035">
        <f t="shared" si="4"/>
        <v>0</v>
      </c>
      <c r="X21" s="1035">
        <f t="shared" si="4"/>
        <v>0</v>
      </c>
      <c r="Y21" s="1035">
        <f t="shared" si="4"/>
        <v>0</v>
      </c>
      <c r="Z21" s="1035">
        <f t="shared" si="4"/>
        <v>0</v>
      </c>
      <c r="AA21" s="1035">
        <f t="shared" si="4"/>
        <v>0</v>
      </c>
    </row>
    <row r="24" spans="1:27" x14ac:dyDescent="0.3">
      <c r="B24">
        <v>682</v>
      </c>
      <c r="C24">
        <v>829</v>
      </c>
      <c r="D24">
        <v>835</v>
      </c>
      <c r="E24">
        <v>830</v>
      </c>
      <c r="F24">
        <v>1200</v>
      </c>
      <c r="G24">
        <v>1986</v>
      </c>
      <c r="H24">
        <v>4371</v>
      </c>
      <c r="I24">
        <v>5020</v>
      </c>
      <c r="J24">
        <v>3990</v>
      </c>
      <c r="K24">
        <v>2546</v>
      </c>
      <c r="L24">
        <v>1956</v>
      </c>
      <c r="M24">
        <v>780</v>
      </c>
      <c r="N24">
        <f>SUM(B24:M24)</f>
        <v>25025</v>
      </c>
      <c r="O24">
        <f>N24/12</f>
        <v>2085.4166666666665</v>
      </c>
    </row>
    <row r="25" spans="1:27" x14ac:dyDescent="0.3">
      <c r="B25" s="1183">
        <f>B24/$O$24</f>
        <v>0.32703296703296708</v>
      </c>
      <c r="C25" s="1183">
        <f t="shared" ref="C25:M25" si="5">C24/$O$24</f>
        <v>0.39752247752247755</v>
      </c>
      <c r="D25" s="1183">
        <f t="shared" si="5"/>
        <v>0.40039960039960043</v>
      </c>
      <c r="E25" s="1183">
        <f t="shared" si="5"/>
        <v>0.39800199800199804</v>
      </c>
      <c r="F25" s="1183">
        <f t="shared" si="5"/>
        <v>0.57542457542457548</v>
      </c>
      <c r="G25" s="1183">
        <f t="shared" si="5"/>
        <v>0.95232767232767235</v>
      </c>
      <c r="H25" s="1183">
        <f t="shared" si="5"/>
        <v>2.095984015984016</v>
      </c>
      <c r="I25" s="1183">
        <f t="shared" si="5"/>
        <v>2.4071928071928075</v>
      </c>
      <c r="J25" s="1183">
        <f t="shared" si="5"/>
        <v>1.9132867132867135</v>
      </c>
      <c r="K25" s="1183">
        <f t="shared" si="5"/>
        <v>1.2208591408591409</v>
      </c>
      <c r="L25" s="1183">
        <f t="shared" si="5"/>
        <v>0.93794205794205798</v>
      </c>
      <c r="M25" s="1183">
        <f t="shared" si="5"/>
        <v>0.37402597402597404</v>
      </c>
      <c r="O25" s="1183">
        <f>SUM(B25:M25)</f>
        <v>12</v>
      </c>
    </row>
    <row r="26" spans="1:27" x14ac:dyDescent="0.3">
      <c r="B26">
        <v>278</v>
      </c>
      <c r="C26">
        <v>300</v>
      </c>
      <c r="D26">
        <v>438</v>
      </c>
      <c r="E26">
        <v>784</v>
      </c>
      <c r="F26">
        <v>850</v>
      </c>
      <c r="G26">
        <v>1579</v>
      </c>
      <c r="H26">
        <v>2638</v>
      </c>
      <c r="I26">
        <v>2834</v>
      </c>
      <c r="J26">
        <v>2523</v>
      </c>
      <c r="K26">
        <v>1847</v>
      </c>
      <c r="L26">
        <v>662</v>
      </c>
      <c r="M26">
        <v>280</v>
      </c>
      <c r="N26">
        <f>SUM(B26:M26)</f>
        <v>15013</v>
      </c>
      <c r="O26">
        <f>N26/12</f>
        <v>1251.0833333333333</v>
      </c>
    </row>
    <row r="27" spans="1:27" x14ac:dyDescent="0.3">
      <c r="B27" s="1184">
        <f>ROUND(B26/$O$26*100,0)</f>
        <v>22</v>
      </c>
      <c r="C27" s="1184">
        <f>ROUND(C26/$O$26*100,0)</f>
        <v>24</v>
      </c>
      <c r="D27" s="1184">
        <f>ROUND(D26/$O$26*100,0)</f>
        <v>35</v>
      </c>
      <c r="E27" s="1184">
        <f>ROUND(E26/$O$26*100,0)</f>
        <v>63</v>
      </c>
      <c r="F27" s="1184">
        <f t="shared" ref="F27:M27" si="6">ROUND(F26/$O$26*100,0)</f>
        <v>68</v>
      </c>
      <c r="G27" s="1184">
        <f t="shared" si="6"/>
        <v>126</v>
      </c>
      <c r="H27" s="1184">
        <f t="shared" si="6"/>
        <v>211</v>
      </c>
      <c r="I27" s="1184">
        <f t="shared" si="6"/>
        <v>227</v>
      </c>
      <c r="J27" s="1184">
        <f t="shared" si="6"/>
        <v>202</v>
      </c>
      <c r="K27" s="1184">
        <f t="shared" si="6"/>
        <v>148</v>
      </c>
      <c r="L27" s="1184">
        <f t="shared" si="6"/>
        <v>53</v>
      </c>
      <c r="M27" s="1184">
        <f t="shared" si="6"/>
        <v>22</v>
      </c>
      <c r="O27" s="1184">
        <f>SUM(B27:M27)</f>
        <v>1201</v>
      </c>
    </row>
    <row r="29" spans="1:27" x14ac:dyDescent="0.3">
      <c r="C29" s="1036" t="s">
        <v>429</v>
      </c>
      <c r="D29" s="1036" t="s">
        <v>428</v>
      </c>
    </row>
    <row r="30" spans="1:27" x14ac:dyDescent="0.3">
      <c r="B30" s="1036">
        <v>1</v>
      </c>
      <c r="C30" s="1036" t="str">
        <f>VLOOKUP(E30,$J$30:$K$41,2)</f>
        <v>ene</v>
      </c>
      <c r="D30" s="1037">
        <f>+F30</f>
        <v>2017</v>
      </c>
      <c r="E30">
        <v>1</v>
      </c>
      <c r="F30" s="1037">
        <f>+D2</f>
        <v>2017</v>
      </c>
      <c r="J30">
        <v>1</v>
      </c>
      <c r="K30" t="s">
        <v>430</v>
      </c>
      <c r="L30" t="s">
        <v>442</v>
      </c>
    </row>
    <row r="31" spans="1:27" x14ac:dyDescent="0.3">
      <c r="B31" s="1036">
        <f>+B30+1</f>
        <v>2</v>
      </c>
      <c r="C31" s="1036" t="str">
        <f t="shared" ref="C31:C94" si="7">VLOOKUP(E31,$J$30:$K$41,2)</f>
        <v>feb.</v>
      </c>
      <c r="D31" s="1037">
        <f t="shared" ref="D31:D94" si="8">+F31</f>
        <v>2017</v>
      </c>
      <c r="E31">
        <f>+E30+1</f>
        <v>2</v>
      </c>
      <c r="F31" s="1037">
        <f>+F30</f>
        <v>2017</v>
      </c>
      <c r="J31">
        <v>2</v>
      </c>
      <c r="K31" t="s">
        <v>431</v>
      </c>
      <c r="L31" t="s">
        <v>443</v>
      </c>
    </row>
    <row r="32" spans="1:27" x14ac:dyDescent="0.3">
      <c r="B32" s="1036">
        <f t="shared" ref="B32:B95" si="9">+B31+1</f>
        <v>3</v>
      </c>
      <c r="C32" s="1036" t="str">
        <f t="shared" si="7"/>
        <v>mar.</v>
      </c>
      <c r="D32" s="1037">
        <f t="shared" si="8"/>
        <v>2017</v>
      </c>
      <c r="E32">
        <f t="shared" ref="E32:E41" si="10">+E31+1</f>
        <v>3</v>
      </c>
      <c r="F32" s="1037">
        <f t="shared" ref="F32:F41" si="11">+F31</f>
        <v>2017</v>
      </c>
      <c r="J32">
        <v>3</v>
      </c>
      <c r="K32" t="s">
        <v>432</v>
      </c>
      <c r="L32" t="s">
        <v>444</v>
      </c>
    </row>
    <row r="33" spans="2:16" x14ac:dyDescent="0.3">
      <c r="B33" s="1036">
        <f t="shared" si="9"/>
        <v>4</v>
      </c>
      <c r="C33" s="1036" t="str">
        <f t="shared" si="7"/>
        <v>abr.</v>
      </c>
      <c r="D33" s="1037">
        <f t="shared" si="8"/>
        <v>2017</v>
      </c>
      <c r="E33">
        <f t="shared" si="10"/>
        <v>4</v>
      </c>
      <c r="F33" s="1037">
        <f t="shared" si="11"/>
        <v>2017</v>
      </c>
      <c r="J33">
        <v>4</v>
      </c>
      <c r="K33" t="s">
        <v>433</v>
      </c>
      <c r="L33" t="s">
        <v>445</v>
      </c>
    </row>
    <row r="34" spans="2:16" x14ac:dyDescent="0.3">
      <c r="B34" s="1036">
        <f t="shared" si="9"/>
        <v>5</v>
      </c>
      <c r="C34" s="1036" t="str">
        <f t="shared" si="7"/>
        <v>may.</v>
      </c>
      <c r="D34" s="1037">
        <f t="shared" si="8"/>
        <v>2017</v>
      </c>
      <c r="E34">
        <f t="shared" si="10"/>
        <v>5</v>
      </c>
      <c r="F34" s="1037">
        <f t="shared" si="11"/>
        <v>2017</v>
      </c>
      <c r="J34">
        <v>5</v>
      </c>
      <c r="K34" t="s">
        <v>434</v>
      </c>
      <c r="L34" t="s">
        <v>446</v>
      </c>
    </row>
    <row r="35" spans="2:16" x14ac:dyDescent="0.3">
      <c r="B35" s="1036">
        <f t="shared" si="9"/>
        <v>6</v>
      </c>
      <c r="C35" s="1036" t="str">
        <f t="shared" si="7"/>
        <v>jun.</v>
      </c>
      <c r="D35" s="1037">
        <f t="shared" si="8"/>
        <v>2017</v>
      </c>
      <c r="E35">
        <f t="shared" si="10"/>
        <v>6</v>
      </c>
      <c r="F35" s="1037">
        <f t="shared" si="11"/>
        <v>2017</v>
      </c>
      <c r="J35">
        <v>6</v>
      </c>
      <c r="K35" t="s">
        <v>435</v>
      </c>
      <c r="L35" t="s">
        <v>447</v>
      </c>
    </row>
    <row r="36" spans="2:16" x14ac:dyDescent="0.3">
      <c r="B36" s="1036">
        <f t="shared" si="9"/>
        <v>7</v>
      </c>
      <c r="C36" s="1036" t="str">
        <f t="shared" si="7"/>
        <v>jul.</v>
      </c>
      <c r="D36" s="1037">
        <f t="shared" si="8"/>
        <v>2017</v>
      </c>
      <c r="E36">
        <f t="shared" si="10"/>
        <v>7</v>
      </c>
      <c r="F36" s="1037">
        <f t="shared" si="11"/>
        <v>2017</v>
      </c>
      <c r="J36">
        <v>7</v>
      </c>
      <c r="K36" t="s">
        <v>436</v>
      </c>
      <c r="L36" t="s">
        <v>448</v>
      </c>
    </row>
    <row r="37" spans="2:16" x14ac:dyDescent="0.3">
      <c r="B37" s="1036">
        <f t="shared" si="9"/>
        <v>8</v>
      </c>
      <c r="C37" s="1036" t="str">
        <f t="shared" si="7"/>
        <v>ago.</v>
      </c>
      <c r="D37" s="1037">
        <f t="shared" si="8"/>
        <v>2017</v>
      </c>
      <c r="E37">
        <f t="shared" si="10"/>
        <v>8</v>
      </c>
      <c r="F37" s="1037">
        <f t="shared" si="11"/>
        <v>2017</v>
      </c>
      <c r="J37">
        <v>8</v>
      </c>
      <c r="K37" t="s">
        <v>437</v>
      </c>
    </row>
    <row r="38" spans="2:16" x14ac:dyDescent="0.3">
      <c r="B38" s="1036">
        <f t="shared" si="9"/>
        <v>9</v>
      </c>
      <c r="C38" s="1036" t="str">
        <f t="shared" si="7"/>
        <v>sep.</v>
      </c>
      <c r="D38" s="1037">
        <f t="shared" si="8"/>
        <v>2017</v>
      </c>
      <c r="E38">
        <f t="shared" si="10"/>
        <v>9</v>
      </c>
      <c r="F38" s="1037">
        <f t="shared" si="11"/>
        <v>2017</v>
      </c>
      <c r="J38">
        <v>9</v>
      </c>
      <c r="K38" t="s">
        <v>438</v>
      </c>
      <c r="M38">
        <v>20</v>
      </c>
      <c r="N38">
        <v>1.5</v>
      </c>
      <c r="O38">
        <v>4</v>
      </c>
      <c r="P38">
        <f>O38*N38*M38</f>
        <v>120</v>
      </c>
    </row>
    <row r="39" spans="2:16" x14ac:dyDescent="0.3">
      <c r="B39" s="1036">
        <f t="shared" si="9"/>
        <v>10</v>
      </c>
      <c r="C39" s="1036" t="str">
        <f t="shared" si="7"/>
        <v>oct.</v>
      </c>
      <c r="D39" s="1037">
        <f t="shared" si="8"/>
        <v>2017</v>
      </c>
      <c r="E39">
        <f t="shared" si="10"/>
        <v>10</v>
      </c>
      <c r="F39" s="1037">
        <f t="shared" si="11"/>
        <v>2017</v>
      </c>
      <c r="J39">
        <v>10</v>
      </c>
      <c r="K39" t="s">
        <v>439</v>
      </c>
      <c r="M39">
        <v>20</v>
      </c>
      <c r="N39">
        <v>1</v>
      </c>
      <c r="O39">
        <v>4</v>
      </c>
      <c r="P39">
        <f>O39*N39*M39</f>
        <v>80</v>
      </c>
    </row>
    <row r="40" spans="2:16" x14ac:dyDescent="0.3">
      <c r="B40" s="1036">
        <f t="shared" si="9"/>
        <v>11</v>
      </c>
      <c r="C40" s="1036" t="str">
        <f t="shared" si="7"/>
        <v>nov.</v>
      </c>
      <c r="D40" s="1037">
        <f t="shared" si="8"/>
        <v>2017</v>
      </c>
      <c r="E40">
        <f t="shared" si="10"/>
        <v>11</v>
      </c>
      <c r="F40" s="1037">
        <f t="shared" si="11"/>
        <v>2017</v>
      </c>
      <c r="J40">
        <v>11</v>
      </c>
      <c r="K40" t="s">
        <v>440</v>
      </c>
    </row>
    <row r="41" spans="2:16" x14ac:dyDescent="0.3">
      <c r="B41" s="1036">
        <f t="shared" si="9"/>
        <v>12</v>
      </c>
      <c r="C41" s="1036" t="str">
        <f t="shared" si="7"/>
        <v>dic.</v>
      </c>
      <c r="D41" s="1037">
        <f t="shared" si="8"/>
        <v>2017</v>
      </c>
      <c r="E41">
        <f t="shared" si="10"/>
        <v>12</v>
      </c>
      <c r="F41" s="1037">
        <f t="shared" si="11"/>
        <v>2017</v>
      </c>
      <c r="J41">
        <v>12</v>
      </c>
      <c r="K41" t="s">
        <v>441</v>
      </c>
    </row>
    <row r="42" spans="2:16" x14ac:dyDescent="0.3">
      <c r="B42" s="1036">
        <f t="shared" si="9"/>
        <v>13</v>
      </c>
      <c r="C42" s="1036" t="str">
        <f t="shared" si="7"/>
        <v>ene</v>
      </c>
      <c r="D42" s="1037">
        <f t="shared" si="8"/>
        <v>2018</v>
      </c>
      <c r="E42">
        <f>IF(E41=12,1,E41+1)</f>
        <v>1</v>
      </c>
      <c r="F42" s="1037">
        <f>IF(E42=1,F41+1,F41)</f>
        <v>2018</v>
      </c>
    </row>
    <row r="43" spans="2:16" x14ac:dyDescent="0.3">
      <c r="B43" s="1036">
        <f t="shared" si="9"/>
        <v>14</v>
      </c>
      <c r="C43" s="1036" t="str">
        <f t="shared" si="7"/>
        <v>feb.</v>
      </c>
      <c r="D43" s="1037">
        <f t="shared" si="8"/>
        <v>2018</v>
      </c>
      <c r="E43">
        <f t="shared" ref="E43:E106" si="12">IF(E42=12,1,E42+1)</f>
        <v>2</v>
      </c>
      <c r="F43" s="1037">
        <f t="shared" ref="F43:F106" si="13">IF(E43=1,F42+1,F42)</f>
        <v>2018</v>
      </c>
    </row>
    <row r="44" spans="2:16" x14ac:dyDescent="0.3">
      <c r="B44" s="1036">
        <f t="shared" si="9"/>
        <v>15</v>
      </c>
      <c r="C44" s="1036" t="str">
        <f t="shared" si="7"/>
        <v>mar.</v>
      </c>
      <c r="D44" s="1037">
        <f t="shared" si="8"/>
        <v>2018</v>
      </c>
      <c r="E44">
        <f t="shared" si="12"/>
        <v>3</v>
      </c>
      <c r="F44" s="1037">
        <f t="shared" si="13"/>
        <v>2018</v>
      </c>
    </row>
    <row r="45" spans="2:16" x14ac:dyDescent="0.3">
      <c r="B45" s="1036">
        <f t="shared" si="9"/>
        <v>16</v>
      </c>
      <c r="C45" s="1036" t="str">
        <f t="shared" si="7"/>
        <v>abr.</v>
      </c>
      <c r="D45" s="1037">
        <f t="shared" si="8"/>
        <v>2018</v>
      </c>
      <c r="E45">
        <f t="shared" si="12"/>
        <v>4</v>
      </c>
      <c r="F45" s="1037">
        <f t="shared" si="13"/>
        <v>2018</v>
      </c>
    </row>
    <row r="46" spans="2:16" x14ac:dyDescent="0.3">
      <c r="B46" s="1036">
        <f t="shared" si="9"/>
        <v>17</v>
      </c>
      <c r="C46" s="1036" t="str">
        <f t="shared" si="7"/>
        <v>may.</v>
      </c>
      <c r="D46" s="1037">
        <f t="shared" si="8"/>
        <v>2018</v>
      </c>
      <c r="E46">
        <f t="shared" si="12"/>
        <v>5</v>
      </c>
      <c r="F46" s="1037">
        <f t="shared" si="13"/>
        <v>2018</v>
      </c>
    </row>
    <row r="47" spans="2:16" x14ac:dyDescent="0.3">
      <c r="B47" s="1036">
        <f t="shared" si="9"/>
        <v>18</v>
      </c>
      <c r="C47" s="1036" t="str">
        <f t="shared" si="7"/>
        <v>jun.</v>
      </c>
      <c r="D47" s="1037">
        <f t="shared" si="8"/>
        <v>2018</v>
      </c>
      <c r="E47">
        <f t="shared" si="12"/>
        <v>6</v>
      </c>
      <c r="F47" s="1037">
        <f t="shared" si="13"/>
        <v>2018</v>
      </c>
    </row>
    <row r="48" spans="2:16" x14ac:dyDescent="0.3">
      <c r="B48" s="1036">
        <f t="shared" si="9"/>
        <v>19</v>
      </c>
      <c r="C48" s="1036" t="str">
        <f t="shared" si="7"/>
        <v>jul.</v>
      </c>
      <c r="D48" s="1037">
        <f t="shared" si="8"/>
        <v>2018</v>
      </c>
      <c r="E48">
        <f t="shared" si="12"/>
        <v>7</v>
      </c>
      <c r="F48" s="1037">
        <f t="shared" si="13"/>
        <v>2018</v>
      </c>
    </row>
    <row r="49" spans="2:6" x14ac:dyDescent="0.3">
      <c r="B49" s="1036">
        <f t="shared" si="9"/>
        <v>20</v>
      </c>
      <c r="C49" s="1036" t="str">
        <f t="shared" si="7"/>
        <v>ago.</v>
      </c>
      <c r="D49" s="1037">
        <f t="shared" si="8"/>
        <v>2018</v>
      </c>
      <c r="E49">
        <f t="shared" si="12"/>
        <v>8</v>
      </c>
      <c r="F49" s="1037">
        <f t="shared" si="13"/>
        <v>2018</v>
      </c>
    </row>
    <row r="50" spans="2:6" x14ac:dyDescent="0.3">
      <c r="B50" s="1036">
        <f t="shared" si="9"/>
        <v>21</v>
      </c>
      <c r="C50" s="1036" t="str">
        <f t="shared" si="7"/>
        <v>sep.</v>
      </c>
      <c r="D50" s="1037">
        <f t="shared" si="8"/>
        <v>2018</v>
      </c>
      <c r="E50">
        <f t="shared" si="12"/>
        <v>9</v>
      </c>
      <c r="F50" s="1037">
        <f t="shared" si="13"/>
        <v>2018</v>
      </c>
    </row>
    <row r="51" spans="2:6" x14ac:dyDescent="0.3">
      <c r="B51" s="1036">
        <f t="shared" si="9"/>
        <v>22</v>
      </c>
      <c r="C51" s="1036" t="str">
        <f t="shared" si="7"/>
        <v>oct.</v>
      </c>
      <c r="D51" s="1037">
        <f t="shared" si="8"/>
        <v>2018</v>
      </c>
      <c r="E51">
        <f t="shared" si="12"/>
        <v>10</v>
      </c>
      <c r="F51" s="1037">
        <f t="shared" si="13"/>
        <v>2018</v>
      </c>
    </row>
    <row r="52" spans="2:6" x14ac:dyDescent="0.3">
      <c r="B52" s="1036">
        <f t="shared" si="9"/>
        <v>23</v>
      </c>
      <c r="C52" s="1036" t="str">
        <f t="shared" si="7"/>
        <v>nov.</v>
      </c>
      <c r="D52" s="1037">
        <f t="shared" si="8"/>
        <v>2018</v>
      </c>
      <c r="E52">
        <f t="shared" si="12"/>
        <v>11</v>
      </c>
      <c r="F52" s="1037">
        <f t="shared" si="13"/>
        <v>2018</v>
      </c>
    </row>
    <row r="53" spans="2:6" x14ac:dyDescent="0.3">
      <c r="B53" s="1036">
        <f t="shared" si="9"/>
        <v>24</v>
      </c>
      <c r="C53" s="1036" t="str">
        <f t="shared" si="7"/>
        <v>dic.</v>
      </c>
      <c r="D53" s="1037">
        <f t="shared" si="8"/>
        <v>2018</v>
      </c>
      <c r="E53">
        <f t="shared" si="12"/>
        <v>12</v>
      </c>
      <c r="F53" s="1037">
        <f t="shared" si="13"/>
        <v>2018</v>
      </c>
    </row>
    <row r="54" spans="2:6" x14ac:dyDescent="0.3">
      <c r="B54" s="1036">
        <f t="shared" si="9"/>
        <v>25</v>
      </c>
      <c r="C54" s="1036" t="str">
        <f t="shared" si="7"/>
        <v>ene</v>
      </c>
      <c r="D54" s="1037">
        <f t="shared" si="8"/>
        <v>2019</v>
      </c>
      <c r="E54">
        <f t="shared" si="12"/>
        <v>1</v>
      </c>
      <c r="F54" s="1037">
        <f t="shared" si="13"/>
        <v>2019</v>
      </c>
    </row>
    <row r="55" spans="2:6" x14ac:dyDescent="0.3">
      <c r="B55" s="1036">
        <f t="shared" si="9"/>
        <v>26</v>
      </c>
      <c r="C55" s="1036" t="str">
        <f t="shared" si="7"/>
        <v>feb.</v>
      </c>
      <c r="D55" s="1037">
        <f t="shared" si="8"/>
        <v>2019</v>
      </c>
      <c r="E55">
        <f t="shared" si="12"/>
        <v>2</v>
      </c>
      <c r="F55" s="1037">
        <f t="shared" si="13"/>
        <v>2019</v>
      </c>
    </row>
    <row r="56" spans="2:6" x14ac:dyDescent="0.3">
      <c r="B56" s="1036">
        <f t="shared" si="9"/>
        <v>27</v>
      </c>
      <c r="C56" s="1036" t="str">
        <f t="shared" si="7"/>
        <v>mar.</v>
      </c>
      <c r="D56" s="1037">
        <f t="shared" si="8"/>
        <v>2019</v>
      </c>
      <c r="E56">
        <f t="shared" si="12"/>
        <v>3</v>
      </c>
      <c r="F56" s="1037">
        <f t="shared" si="13"/>
        <v>2019</v>
      </c>
    </row>
    <row r="57" spans="2:6" x14ac:dyDescent="0.3">
      <c r="B57" s="1036">
        <f t="shared" si="9"/>
        <v>28</v>
      </c>
      <c r="C57" s="1036" t="str">
        <f t="shared" si="7"/>
        <v>abr.</v>
      </c>
      <c r="D57" s="1037">
        <f t="shared" si="8"/>
        <v>2019</v>
      </c>
      <c r="E57">
        <f t="shared" si="12"/>
        <v>4</v>
      </c>
      <c r="F57" s="1037">
        <f t="shared" si="13"/>
        <v>2019</v>
      </c>
    </row>
    <row r="58" spans="2:6" x14ac:dyDescent="0.3">
      <c r="B58" s="1036">
        <f t="shared" si="9"/>
        <v>29</v>
      </c>
      <c r="C58" s="1036" t="str">
        <f t="shared" si="7"/>
        <v>may.</v>
      </c>
      <c r="D58" s="1037">
        <f t="shared" si="8"/>
        <v>2019</v>
      </c>
      <c r="E58">
        <f t="shared" si="12"/>
        <v>5</v>
      </c>
      <c r="F58" s="1037">
        <f t="shared" si="13"/>
        <v>2019</v>
      </c>
    </row>
    <row r="59" spans="2:6" x14ac:dyDescent="0.3">
      <c r="B59" s="1036">
        <f t="shared" si="9"/>
        <v>30</v>
      </c>
      <c r="C59" s="1036" t="str">
        <f t="shared" si="7"/>
        <v>jun.</v>
      </c>
      <c r="D59" s="1037">
        <f t="shared" si="8"/>
        <v>2019</v>
      </c>
      <c r="E59">
        <f t="shared" si="12"/>
        <v>6</v>
      </c>
      <c r="F59" s="1037">
        <f t="shared" si="13"/>
        <v>2019</v>
      </c>
    </row>
    <row r="60" spans="2:6" x14ac:dyDescent="0.3">
      <c r="B60" s="1036">
        <f t="shared" si="9"/>
        <v>31</v>
      </c>
      <c r="C60" s="1036" t="str">
        <f t="shared" si="7"/>
        <v>jul.</v>
      </c>
      <c r="D60" s="1037">
        <f t="shared" si="8"/>
        <v>2019</v>
      </c>
      <c r="E60">
        <f t="shared" si="12"/>
        <v>7</v>
      </c>
      <c r="F60" s="1037">
        <f t="shared" si="13"/>
        <v>2019</v>
      </c>
    </row>
    <row r="61" spans="2:6" x14ac:dyDescent="0.3">
      <c r="B61" s="1036">
        <f t="shared" si="9"/>
        <v>32</v>
      </c>
      <c r="C61" s="1036" t="str">
        <f t="shared" si="7"/>
        <v>ago.</v>
      </c>
      <c r="D61" s="1037">
        <f t="shared" si="8"/>
        <v>2019</v>
      </c>
      <c r="E61">
        <f t="shared" si="12"/>
        <v>8</v>
      </c>
      <c r="F61" s="1037">
        <f t="shared" si="13"/>
        <v>2019</v>
      </c>
    </row>
    <row r="62" spans="2:6" x14ac:dyDescent="0.3">
      <c r="B62" s="1036">
        <f t="shared" si="9"/>
        <v>33</v>
      </c>
      <c r="C62" s="1036" t="str">
        <f t="shared" si="7"/>
        <v>sep.</v>
      </c>
      <c r="D62" s="1037">
        <f t="shared" si="8"/>
        <v>2019</v>
      </c>
      <c r="E62">
        <f t="shared" si="12"/>
        <v>9</v>
      </c>
      <c r="F62" s="1037">
        <f t="shared" si="13"/>
        <v>2019</v>
      </c>
    </row>
    <row r="63" spans="2:6" x14ac:dyDescent="0.3">
      <c r="B63" s="1036">
        <f t="shared" si="9"/>
        <v>34</v>
      </c>
      <c r="C63" s="1036" t="str">
        <f t="shared" si="7"/>
        <v>oct.</v>
      </c>
      <c r="D63" s="1037">
        <f t="shared" si="8"/>
        <v>2019</v>
      </c>
      <c r="E63">
        <f t="shared" si="12"/>
        <v>10</v>
      </c>
      <c r="F63" s="1037">
        <f t="shared" si="13"/>
        <v>2019</v>
      </c>
    </row>
    <row r="64" spans="2:6" x14ac:dyDescent="0.3">
      <c r="B64" s="1036">
        <f t="shared" si="9"/>
        <v>35</v>
      </c>
      <c r="C64" s="1036" t="str">
        <f t="shared" si="7"/>
        <v>nov.</v>
      </c>
      <c r="D64" s="1037">
        <f t="shared" si="8"/>
        <v>2019</v>
      </c>
      <c r="E64">
        <f t="shared" si="12"/>
        <v>11</v>
      </c>
      <c r="F64" s="1037">
        <f t="shared" si="13"/>
        <v>2019</v>
      </c>
    </row>
    <row r="65" spans="2:6" x14ac:dyDescent="0.3">
      <c r="B65" s="1036">
        <f t="shared" si="9"/>
        <v>36</v>
      </c>
      <c r="C65" s="1036" t="str">
        <f t="shared" si="7"/>
        <v>dic.</v>
      </c>
      <c r="D65" s="1037">
        <f t="shared" si="8"/>
        <v>2019</v>
      </c>
      <c r="E65">
        <f t="shared" si="12"/>
        <v>12</v>
      </c>
      <c r="F65" s="1037">
        <f t="shared" si="13"/>
        <v>2019</v>
      </c>
    </row>
    <row r="66" spans="2:6" x14ac:dyDescent="0.3">
      <c r="B66" s="1036">
        <f t="shared" si="9"/>
        <v>37</v>
      </c>
      <c r="C66" s="1036" t="str">
        <f t="shared" si="7"/>
        <v>ene</v>
      </c>
      <c r="D66" s="1037">
        <f t="shared" si="8"/>
        <v>2020</v>
      </c>
      <c r="E66">
        <f t="shared" si="12"/>
        <v>1</v>
      </c>
      <c r="F66" s="1037">
        <f t="shared" si="13"/>
        <v>2020</v>
      </c>
    </row>
    <row r="67" spans="2:6" x14ac:dyDescent="0.3">
      <c r="B67" s="1036">
        <f t="shared" si="9"/>
        <v>38</v>
      </c>
      <c r="C67" s="1036" t="str">
        <f t="shared" si="7"/>
        <v>feb.</v>
      </c>
      <c r="D67" s="1037">
        <f t="shared" si="8"/>
        <v>2020</v>
      </c>
      <c r="E67">
        <f t="shared" si="12"/>
        <v>2</v>
      </c>
      <c r="F67" s="1037">
        <f t="shared" si="13"/>
        <v>2020</v>
      </c>
    </row>
    <row r="68" spans="2:6" x14ac:dyDescent="0.3">
      <c r="B68" s="1036">
        <f t="shared" si="9"/>
        <v>39</v>
      </c>
      <c r="C68" s="1036" t="str">
        <f t="shared" si="7"/>
        <v>mar.</v>
      </c>
      <c r="D68" s="1037">
        <f t="shared" si="8"/>
        <v>2020</v>
      </c>
      <c r="E68">
        <f t="shared" si="12"/>
        <v>3</v>
      </c>
      <c r="F68" s="1037">
        <f t="shared" si="13"/>
        <v>2020</v>
      </c>
    </row>
    <row r="69" spans="2:6" x14ac:dyDescent="0.3">
      <c r="B69" s="1036">
        <f t="shared" si="9"/>
        <v>40</v>
      </c>
      <c r="C69" s="1036" t="str">
        <f t="shared" si="7"/>
        <v>abr.</v>
      </c>
      <c r="D69" s="1037">
        <f t="shared" si="8"/>
        <v>2020</v>
      </c>
      <c r="E69">
        <f t="shared" si="12"/>
        <v>4</v>
      </c>
      <c r="F69" s="1037">
        <f t="shared" si="13"/>
        <v>2020</v>
      </c>
    </row>
    <row r="70" spans="2:6" x14ac:dyDescent="0.3">
      <c r="B70" s="1036">
        <f t="shared" si="9"/>
        <v>41</v>
      </c>
      <c r="C70" s="1036" t="str">
        <f t="shared" si="7"/>
        <v>may.</v>
      </c>
      <c r="D70" s="1037">
        <f t="shared" si="8"/>
        <v>2020</v>
      </c>
      <c r="E70">
        <f t="shared" si="12"/>
        <v>5</v>
      </c>
      <c r="F70" s="1037">
        <f t="shared" si="13"/>
        <v>2020</v>
      </c>
    </row>
    <row r="71" spans="2:6" x14ac:dyDescent="0.3">
      <c r="B71" s="1036">
        <f t="shared" si="9"/>
        <v>42</v>
      </c>
      <c r="C71" s="1036" t="str">
        <f t="shared" si="7"/>
        <v>jun.</v>
      </c>
      <c r="D71" s="1037">
        <f t="shared" si="8"/>
        <v>2020</v>
      </c>
      <c r="E71">
        <f t="shared" si="12"/>
        <v>6</v>
      </c>
      <c r="F71" s="1037">
        <f t="shared" si="13"/>
        <v>2020</v>
      </c>
    </row>
    <row r="72" spans="2:6" x14ac:dyDescent="0.3">
      <c r="B72" s="1036">
        <f t="shared" si="9"/>
        <v>43</v>
      </c>
      <c r="C72" s="1036" t="str">
        <f t="shared" si="7"/>
        <v>jul.</v>
      </c>
      <c r="D72" s="1037">
        <f t="shared" si="8"/>
        <v>2020</v>
      </c>
      <c r="E72">
        <f t="shared" si="12"/>
        <v>7</v>
      </c>
      <c r="F72" s="1037">
        <f t="shared" si="13"/>
        <v>2020</v>
      </c>
    </row>
    <row r="73" spans="2:6" x14ac:dyDescent="0.3">
      <c r="B73" s="1036">
        <f t="shared" si="9"/>
        <v>44</v>
      </c>
      <c r="C73" s="1036" t="str">
        <f t="shared" si="7"/>
        <v>ago.</v>
      </c>
      <c r="D73" s="1037">
        <f t="shared" si="8"/>
        <v>2020</v>
      </c>
      <c r="E73">
        <f t="shared" si="12"/>
        <v>8</v>
      </c>
      <c r="F73" s="1037">
        <f t="shared" si="13"/>
        <v>2020</v>
      </c>
    </row>
    <row r="74" spans="2:6" x14ac:dyDescent="0.3">
      <c r="B74" s="1036">
        <f t="shared" si="9"/>
        <v>45</v>
      </c>
      <c r="C74" s="1036" t="str">
        <f t="shared" si="7"/>
        <v>sep.</v>
      </c>
      <c r="D74" s="1037">
        <f t="shared" si="8"/>
        <v>2020</v>
      </c>
      <c r="E74">
        <f t="shared" si="12"/>
        <v>9</v>
      </c>
      <c r="F74" s="1037">
        <f t="shared" si="13"/>
        <v>2020</v>
      </c>
    </row>
    <row r="75" spans="2:6" x14ac:dyDescent="0.3">
      <c r="B75" s="1036">
        <f t="shared" si="9"/>
        <v>46</v>
      </c>
      <c r="C75" s="1036" t="str">
        <f t="shared" si="7"/>
        <v>oct.</v>
      </c>
      <c r="D75" s="1037">
        <f t="shared" si="8"/>
        <v>2020</v>
      </c>
      <c r="E75">
        <f t="shared" si="12"/>
        <v>10</v>
      </c>
      <c r="F75" s="1037">
        <f t="shared" si="13"/>
        <v>2020</v>
      </c>
    </row>
    <row r="76" spans="2:6" x14ac:dyDescent="0.3">
      <c r="B76" s="1036">
        <f t="shared" si="9"/>
        <v>47</v>
      </c>
      <c r="C76" s="1036" t="str">
        <f t="shared" si="7"/>
        <v>nov.</v>
      </c>
      <c r="D76" s="1037">
        <f t="shared" si="8"/>
        <v>2020</v>
      </c>
      <c r="E76">
        <f t="shared" si="12"/>
        <v>11</v>
      </c>
      <c r="F76" s="1037">
        <f t="shared" si="13"/>
        <v>2020</v>
      </c>
    </row>
    <row r="77" spans="2:6" x14ac:dyDescent="0.3">
      <c r="B77" s="1036">
        <f t="shared" si="9"/>
        <v>48</v>
      </c>
      <c r="C77" s="1036" t="str">
        <f t="shared" si="7"/>
        <v>dic.</v>
      </c>
      <c r="D77" s="1037">
        <f t="shared" si="8"/>
        <v>2020</v>
      </c>
      <c r="E77">
        <f t="shared" si="12"/>
        <v>12</v>
      </c>
      <c r="F77" s="1037">
        <f t="shared" si="13"/>
        <v>2020</v>
      </c>
    </row>
    <row r="78" spans="2:6" x14ac:dyDescent="0.3">
      <c r="B78" s="1036">
        <f t="shared" si="9"/>
        <v>49</v>
      </c>
      <c r="C78" s="1036" t="str">
        <f t="shared" si="7"/>
        <v>ene</v>
      </c>
      <c r="D78" s="1037">
        <f t="shared" si="8"/>
        <v>2021</v>
      </c>
      <c r="E78">
        <f>IF(E77=12,1,E77+1)</f>
        <v>1</v>
      </c>
      <c r="F78" s="1037">
        <f t="shared" si="13"/>
        <v>2021</v>
      </c>
    </row>
    <row r="79" spans="2:6" x14ac:dyDescent="0.3">
      <c r="B79" s="1036">
        <f t="shared" si="9"/>
        <v>50</v>
      </c>
      <c r="C79" s="1036" t="str">
        <f t="shared" si="7"/>
        <v>feb.</v>
      </c>
      <c r="D79" s="1037">
        <f t="shared" si="8"/>
        <v>2021</v>
      </c>
      <c r="E79">
        <f t="shared" si="12"/>
        <v>2</v>
      </c>
      <c r="F79" s="1037">
        <f t="shared" si="13"/>
        <v>2021</v>
      </c>
    </row>
    <row r="80" spans="2:6" x14ac:dyDescent="0.3">
      <c r="B80" s="1036">
        <f t="shared" si="9"/>
        <v>51</v>
      </c>
      <c r="C80" s="1036" t="str">
        <f t="shared" si="7"/>
        <v>mar.</v>
      </c>
      <c r="D80" s="1037">
        <f t="shared" si="8"/>
        <v>2021</v>
      </c>
      <c r="E80">
        <f t="shared" si="12"/>
        <v>3</v>
      </c>
      <c r="F80" s="1037">
        <f t="shared" si="13"/>
        <v>2021</v>
      </c>
    </row>
    <row r="81" spans="2:6" x14ac:dyDescent="0.3">
      <c r="B81" s="1036">
        <f t="shared" si="9"/>
        <v>52</v>
      </c>
      <c r="C81" s="1036" t="str">
        <f t="shared" si="7"/>
        <v>abr.</v>
      </c>
      <c r="D81" s="1037">
        <f t="shared" si="8"/>
        <v>2021</v>
      </c>
      <c r="E81">
        <f t="shared" si="12"/>
        <v>4</v>
      </c>
      <c r="F81" s="1037">
        <f t="shared" si="13"/>
        <v>2021</v>
      </c>
    </row>
    <row r="82" spans="2:6" x14ac:dyDescent="0.3">
      <c r="B82" s="1036">
        <f t="shared" si="9"/>
        <v>53</v>
      </c>
      <c r="C82" s="1036" t="str">
        <f t="shared" si="7"/>
        <v>may.</v>
      </c>
      <c r="D82" s="1037">
        <f t="shared" si="8"/>
        <v>2021</v>
      </c>
      <c r="E82">
        <f t="shared" si="12"/>
        <v>5</v>
      </c>
      <c r="F82" s="1037">
        <f t="shared" si="13"/>
        <v>2021</v>
      </c>
    </row>
    <row r="83" spans="2:6" x14ac:dyDescent="0.3">
      <c r="B83" s="1036">
        <f t="shared" si="9"/>
        <v>54</v>
      </c>
      <c r="C83" s="1036" t="str">
        <f t="shared" si="7"/>
        <v>jun.</v>
      </c>
      <c r="D83" s="1037">
        <f t="shared" si="8"/>
        <v>2021</v>
      </c>
      <c r="E83">
        <f t="shared" si="12"/>
        <v>6</v>
      </c>
      <c r="F83" s="1037">
        <f t="shared" si="13"/>
        <v>2021</v>
      </c>
    </row>
    <row r="84" spans="2:6" x14ac:dyDescent="0.3">
      <c r="B84" s="1036">
        <f t="shared" si="9"/>
        <v>55</v>
      </c>
      <c r="C84" s="1036" t="str">
        <f t="shared" si="7"/>
        <v>jul.</v>
      </c>
      <c r="D84" s="1037">
        <f t="shared" si="8"/>
        <v>2021</v>
      </c>
      <c r="E84">
        <f t="shared" si="12"/>
        <v>7</v>
      </c>
      <c r="F84" s="1037">
        <f t="shared" si="13"/>
        <v>2021</v>
      </c>
    </row>
    <row r="85" spans="2:6" x14ac:dyDescent="0.3">
      <c r="B85" s="1036">
        <f t="shared" si="9"/>
        <v>56</v>
      </c>
      <c r="C85" s="1036" t="str">
        <f t="shared" si="7"/>
        <v>ago.</v>
      </c>
      <c r="D85" s="1037">
        <f t="shared" si="8"/>
        <v>2021</v>
      </c>
      <c r="E85">
        <f t="shared" si="12"/>
        <v>8</v>
      </c>
      <c r="F85" s="1037">
        <f t="shared" si="13"/>
        <v>2021</v>
      </c>
    </row>
    <row r="86" spans="2:6" x14ac:dyDescent="0.3">
      <c r="B86" s="1036">
        <f t="shared" si="9"/>
        <v>57</v>
      </c>
      <c r="C86" s="1036" t="str">
        <f t="shared" si="7"/>
        <v>sep.</v>
      </c>
      <c r="D86" s="1037">
        <f t="shared" si="8"/>
        <v>2021</v>
      </c>
      <c r="E86">
        <f t="shared" si="12"/>
        <v>9</v>
      </c>
      <c r="F86" s="1037">
        <f t="shared" si="13"/>
        <v>2021</v>
      </c>
    </row>
    <row r="87" spans="2:6" x14ac:dyDescent="0.3">
      <c r="B87" s="1036">
        <f t="shared" si="9"/>
        <v>58</v>
      </c>
      <c r="C87" s="1036" t="str">
        <f t="shared" si="7"/>
        <v>oct.</v>
      </c>
      <c r="D87" s="1037">
        <f t="shared" si="8"/>
        <v>2021</v>
      </c>
      <c r="E87">
        <f t="shared" si="12"/>
        <v>10</v>
      </c>
      <c r="F87" s="1037">
        <f t="shared" si="13"/>
        <v>2021</v>
      </c>
    </row>
    <row r="88" spans="2:6" x14ac:dyDescent="0.3">
      <c r="B88" s="1036">
        <f t="shared" si="9"/>
        <v>59</v>
      </c>
      <c r="C88" s="1036" t="str">
        <f t="shared" si="7"/>
        <v>nov.</v>
      </c>
      <c r="D88" s="1037">
        <f t="shared" si="8"/>
        <v>2021</v>
      </c>
      <c r="E88">
        <f t="shared" si="12"/>
        <v>11</v>
      </c>
      <c r="F88" s="1037">
        <f t="shared" si="13"/>
        <v>2021</v>
      </c>
    </row>
    <row r="89" spans="2:6" x14ac:dyDescent="0.3">
      <c r="B89" s="1036">
        <f t="shared" si="9"/>
        <v>60</v>
      </c>
      <c r="C89" s="1036" t="str">
        <f t="shared" si="7"/>
        <v>dic.</v>
      </c>
      <c r="D89" s="1037">
        <f t="shared" si="8"/>
        <v>2021</v>
      </c>
      <c r="E89">
        <f t="shared" si="12"/>
        <v>12</v>
      </c>
      <c r="F89" s="1037">
        <f t="shared" si="13"/>
        <v>2021</v>
      </c>
    </row>
    <row r="90" spans="2:6" x14ac:dyDescent="0.3">
      <c r="B90" s="1036">
        <f t="shared" si="9"/>
        <v>61</v>
      </c>
      <c r="C90" s="1036" t="str">
        <f t="shared" si="7"/>
        <v>ene</v>
      </c>
      <c r="D90" s="1037">
        <f t="shared" si="8"/>
        <v>2022</v>
      </c>
      <c r="E90">
        <f t="shared" si="12"/>
        <v>1</v>
      </c>
      <c r="F90" s="1037">
        <f t="shared" si="13"/>
        <v>2022</v>
      </c>
    </row>
    <row r="91" spans="2:6" x14ac:dyDescent="0.3">
      <c r="B91" s="1036">
        <f t="shared" si="9"/>
        <v>62</v>
      </c>
      <c r="C91" s="1036" t="str">
        <f t="shared" si="7"/>
        <v>feb.</v>
      </c>
      <c r="D91" s="1037">
        <f t="shared" si="8"/>
        <v>2022</v>
      </c>
      <c r="E91">
        <f t="shared" si="12"/>
        <v>2</v>
      </c>
      <c r="F91" s="1037">
        <f t="shared" si="13"/>
        <v>2022</v>
      </c>
    </row>
    <row r="92" spans="2:6" x14ac:dyDescent="0.3">
      <c r="B92" s="1036">
        <f t="shared" si="9"/>
        <v>63</v>
      </c>
      <c r="C92" s="1036" t="str">
        <f t="shared" si="7"/>
        <v>mar.</v>
      </c>
      <c r="D92" s="1037">
        <f t="shared" si="8"/>
        <v>2022</v>
      </c>
      <c r="E92">
        <f t="shared" si="12"/>
        <v>3</v>
      </c>
      <c r="F92" s="1037">
        <f t="shared" si="13"/>
        <v>2022</v>
      </c>
    </row>
    <row r="93" spans="2:6" x14ac:dyDescent="0.3">
      <c r="B93" s="1036">
        <f t="shared" si="9"/>
        <v>64</v>
      </c>
      <c r="C93" s="1036" t="str">
        <f t="shared" si="7"/>
        <v>abr.</v>
      </c>
      <c r="D93" s="1037">
        <f t="shared" si="8"/>
        <v>2022</v>
      </c>
      <c r="E93">
        <f t="shared" si="12"/>
        <v>4</v>
      </c>
      <c r="F93" s="1037">
        <f t="shared" si="13"/>
        <v>2022</v>
      </c>
    </row>
    <row r="94" spans="2:6" x14ac:dyDescent="0.3">
      <c r="B94" s="1036">
        <f t="shared" si="9"/>
        <v>65</v>
      </c>
      <c r="C94" s="1036" t="str">
        <f t="shared" si="7"/>
        <v>may.</v>
      </c>
      <c r="D94" s="1037">
        <f t="shared" si="8"/>
        <v>2022</v>
      </c>
      <c r="E94">
        <f t="shared" si="12"/>
        <v>5</v>
      </c>
      <c r="F94" s="1037">
        <f t="shared" si="13"/>
        <v>2022</v>
      </c>
    </row>
    <row r="95" spans="2:6" x14ac:dyDescent="0.3">
      <c r="B95" s="1036">
        <f t="shared" si="9"/>
        <v>66</v>
      </c>
      <c r="C95" s="1036" t="str">
        <f t="shared" ref="C95:C158" si="14">VLOOKUP(E95,$J$30:$K$41,2)</f>
        <v>jun.</v>
      </c>
      <c r="D95" s="1037">
        <f t="shared" ref="D95:D158" si="15">+F95</f>
        <v>2022</v>
      </c>
      <c r="E95">
        <f t="shared" si="12"/>
        <v>6</v>
      </c>
      <c r="F95" s="1037">
        <f t="shared" si="13"/>
        <v>2022</v>
      </c>
    </row>
    <row r="96" spans="2:6" x14ac:dyDescent="0.3">
      <c r="B96" s="1036">
        <f t="shared" ref="B96:B159" si="16">+B95+1</f>
        <v>67</v>
      </c>
      <c r="C96" s="1036" t="str">
        <f t="shared" si="14"/>
        <v>jul.</v>
      </c>
      <c r="D96" s="1037">
        <f t="shared" si="15"/>
        <v>2022</v>
      </c>
      <c r="E96">
        <f t="shared" si="12"/>
        <v>7</v>
      </c>
      <c r="F96" s="1037">
        <f t="shared" si="13"/>
        <v>2022</v>
      </c>
    </row>
    <row r="97" spans="2:6" x14ac:dyDescent="0.3">
      <c r="B97" s="1036">
        <f t="shared" si="16"/>
        <v>68</v>
      </c>
      <c r="C97" s="1036" t="str">
        <f t="shared" si="14"/>
        <v>ago.</v>
      </c>
      <c r="D97" s="1037">
        <f t="shared" si="15"/>
        <v>2022</v>
      </c>
      <c r="E97">
        <f t="shared" si="12"/>
        <v>8</v>
      </c>
      <c r="F97" s="1037">
        <f t="shared" si="13"/>
        <v>2022</v>
      </c>
    </row>
    <row r="98" spans="2:6" x14ac:dyDescent="0.3">
      <c r="B98" s="1036">
        <f t="shared" si="16"/>
        <v>69</v>
      </c>
      <c r="C98" s="1036" t="str">
        <f t="shared" si="14"/>
        <v>sep.</v>
      </c>
      <c r="D98" s="1037">
        <f t="shared" si="15"/>
        <v>2022</v>
      </c>
      <c r="E98">
        <f t="shared" si="12"/>
        <v>9</v>
      </c>
      <c r="F98" s="1037">
        <f t="shared" si="13"/>
        <v>2022</v>
      </c>
    </row>
    <row r="99" spans="2:6" x14ac:dyDescent="0.3">
      <c r="B99" s="1036">
        <f t="shared" si="16"/>
        <v>70</v>
      </c>
      <c r="C99" s="1036" t="str">
        <f t="shared" si="14"/>
        <v>oct.</v>
      </c>
      <c r="D99" s="1037">
        <f t="shared" si="15"/>
        <v>2022</v>
      </c>
      <c r="E99">
        <f t="shared" si="12"/>
        <v>10</v>
      </c>
      <c r="F99" s="1037">
        <f t="shared" si="13"/>
        <v>2022</v>
      </c>
    </row>
    <row r="100" spans="2:6" x14ac:dyDescent="0.3">
      <c r="B100" s="1036">
        <f t="shared" si="16"/>
        <v>71</v>
      </c>
      <c r="C100" s="1036" t="str">
        <f t="shared" si="14"/>
        <v>nov.</v>
      </c>
      <c r="D100" s="1037">
        <f t="shared" si="15"/>
        <v>2022</v>
      </c>
      <c r="E100">
        <f t="shared" si="12"/>
        <v>11</v>
      </c>
      <c r="F100" s="1037">
        <f t="shared" si="13"/>
        <v>2022</v>
      </c>
    </row>
    <row r="101" spans="2:6" x14ac:dyDescent="0.3">
      <c r="B101" s="1036">
        <f t="shared" si="16"/>
        <v>72</v>
      </c>
      <c r="C101" s="1036" t="str">
        <f t="shared" si="14"/>
        <v>dic.</v>
      </c>
      <c r="D101" s="1037">
        <f t="shared" si="15"/>
        <v>2022</v>
      </c>
      <c r="E101">
        <f t="shared" si="12"/>
        <v>12</v>
      </c>
      <c r="F101" s="1037">
        <f t="shared" si="13"/>
        <v>2022</v>
      </c>
    </row>
    <row r="102" spans="2:6" x14ac:dyDescent="0.3">
      <c r="B102" s="1036">
        <f t="shared" si="16"/>
        <v>73</v>
      </c>
      <c r="C102" s="1036" t="str">
        <f t="shared" si="14"/>
        <v>ene</v>
      </c>
      <c r="D102" s="1037">
        <f t="shared" si="15"/>
        <v>2023</v>
      </c>
      <c r="E102">
        <f t="shared" si="12"/>
        <v>1</v>
      </c>
      <c r="F102" s="1037">
        <f t="shared" si="13"/>
        <v>2023</v>
      </c>
    </row>
    <row r="103" spans="2:6" x14ac:dyDescent="0.3">
      <c r="B103" s="1036">
        <f t="shared" si="16"/>
        <v>74</v>
      </c>
      <c r="C103" s="1036" t="str">
        <f t="shared" si="14"/>
        <v>feb.</v>
      </c>
      <c r="D103" s="1037">
        <f t="shared" si="15"/>
        <v>2023</v>
      </c>
      <c r="E103">
        <f t="shared" si="12"/>
        <v>2</v>
      </c>
      <c r="F103" s="1037">
        <f t="shared" si="13"/>
        <v>2023</v>
      </c>
    </row>
    <row r="104" spans="2:6" x14ac:dyDescent="0.3">
      <c r="B104" s="1036">
        <f t="shared" si="16"/>
        <v>75</v>
      </c>
      <c r="C104" s="1036" t="str">
        <f t="shared" si="14"/>
        <v>mar.</v>
      </c>
      <c r="D104" s="1037">
        <f t="shared" si="15"/>
        <v>2023</v>
      </c>
      <c r="E104">
        <f t="shared" si="12"/>
        <v>3</v>
      </c>
      <c r="F104" s="1037">
        <f t="shared" si="13"/>
        <v>2023</v>
      </c>
    </row>
    <row r="105" spans="2:6" x14ac:dyDescent="0.3">
      <c r="B105" s="1036">
        <f t="shared" si="16"/>
        <v>76</v>
      </c>
      <c r="C105" s="1036" t="str">
        <f t="shared" si="14"/>
        <v>abr.</v>
      </c>
      <c r="D105" s="1037">
        <f t="shared" si="15"/>
        <v>2023</v>
      </c>
      <c r="E105">
        <f t="shared" si="12"/>
        <v>4</v>
      </c>
      <c r="F105" s="1037">
        <f t="shared" si="13"/>
        <v>2023</v>
      </c>
    </row>
    <row r="106" spans="2:6" x14ac:dyDescent="0.3">
      <c r="B106" s="1036">
        <f t="shared" si="16"/>
        <v>77</v>
      </c>
      <c r="C106" s="1036" t="str">
        <f t="shared" si="14"/>
        <v>may.</v>
      </c>
      <c r="D106" s="1037">
        <f t="shared" si="15"/>
        <v>2023</v>
      </c>
      <c r="E106">
        <f t="shared" si="12"/>
        <v>5</v>
      </c>
      <c r="F106" s="1037">
        <f t="shared" si="13"/>
        <v>2023</v>
      </c>
    </row>
    <row r="107" spans="2:6" x14ac:dyDescent="0.3">
      <c r="B107" s="1036">
        <f t="shared" si="16"/>
        <v>78</v>
      </c>
      <c r="C107" s="1036" t="str">
        <f t="shared" si="14"/>
        <v>jun.</v>
      </c>
      <c r="D107" s="1037">
        <f t="shared" si="15"/>
        <v>2023</v>
      </c>
      <c r="E107">
        <f t="shared" ref="E107:E113" si="17">IF(E106=12,1,E106+1)</f>
        <v>6</v>
      </c>
      <c r="F107" s="1037">
        <f t="shared" ref="F107:F161" si="18">IF(E107=1,F106+1,F106)</f>
        <v>2023</v>
      </c>
    </row>
    <row r="108" spans="2:6" x14ac:dyDescent="0.3">
      <c r="B108" s="1036">
        <f t="shared" si="16"/>
        <v>79</v>
      </c>
      <c r="C108" s="1036" t="str">
        <f t="shared" si="14"/>
        <v>jul.</v>
      </c>
      <c r="D108" s="1037">
        <f t="shared" si="15"/>
        <v>2023</v>
      </c>
      <c r="E108">
        <f t="shared" si="17"/>
        <v>7</v>
      </c>
      <c r="F108" s="1037">
        <f t="shared" si="18"/>
        <v>2023</v>
      </c>
    </row>
    <row r="109" spans="2:6" x14ac:dyDescent="0.3">
      <c r="B109" s="1036">
        <f t="shared" si="16"/>
        <v>80</v>
      </c>
      <c r="C109" s="1036" t="str">
        <f t="shared" si="14"/>
        <v>ago.</v>
      </c>
      <c r="D109" s="1037">
        <f t="shared" si="15"/>
        <v>2023</v>
      </c>
      <c r="E109">
        <f t="shared" si="17"/>
        <v>8</v>
      </c>
      <c r="F109" s="1037">
        <f t="shared" si="18"/>
        <v>2023</v>
      </c>
    </row>
    <row r="110" spans="2:6" x14ac:dyDescent="0.3">
      <c r="B110" s="1036">
        <f t="shared" si="16"/>
        <v>81</v>
      </c>
      <c r="C110" s="1036" t="str">
        <f t="shared" si="14"/>
        <v>sep.</v>
      </c>
      <c r="D110" s="1037">
        <f t="shared" si="15"/>
        <v>2023</v>
      </c>
      <c r="E110">
        <f t="shared" si="17"/>
        <v>9</v>
      </c>
      <c r="F110" s="1037">
        <f t="shared" si="18"/>
        <v>2023</v>
      </c>
    </row>
    <row r="111" spans="2:6" x14ac:dyDescent="0.3">
      <c r="B111" s="1036">
        <f t="shared" si="16"/>
        <v>82</v>
      </c>
      <c r="C111" s="1036" t="str">
        <f t="shared" si="14"/>
        <v>oct.</v>
      </c>
      <c r="D111" s="1037">
        <f t="shared" si="15"/>
        <v>2023</v>
      </c>
      <c r="E111">
        <f t="shared" si="17"/>
        <v>10</v>
      </c>
      <c r="F111" s="1037">
        <f t="shared" si="18"/>
        <v>2023</v>
      </c>
    </row>
    <row r="112" spans="2:6" x14ac:dyDescent="0.3">
      <c r="B112" s="1036">
        <f t="shared" si="16"/>
        <v>83</v>
      </c>
      <c r="C112" s="1036" t="str">
        <f t="shared" si="14"/>
        <v>nov.</v>
      </c>
      <c r="D112" s="1037">
        <f t="shared" si="15"/>
        <v>2023</v>
      </c>
      <c r="E112">
        <f t="shared" si="17"/>
        <v>11</v>
      </c>
      <c r="F112" s="1037">
        <f t="shared" si="18"/>
        <v>2023</v>
      </c>
    </row>
    <row r="113" spans="2:6" x14ac:dyDescent="0.3">
      <c r="B113" s="1036">
        <f t="shared" si="16"/>
        <v>84</v>
      </c>
      <c r="C113" s="1036" t="str">
        <f t="shared" si="14"/>
        <v>dic.</v>
      </c>
      <c r="D113" s="1037">
        <f t="shared" si="15"/>
        <v>2023</v>
      </c>
      <c r="E113">
        <f t="shared" si="17"/>
        <v>12</v>
      </c>
      <c r="F113" s="1037">
        <f t="shared" si="18"/>
        <v>2023</v>
      </c>
    </row>
    <row r="114" spans="2:6" x14ac:dyDescent="0.3">
      <c r="B114" s="1036">
        <f t="shared" si="16"/>
        <v>85</v>
      </c>
      <c r="C114" s="1036" t="str">
        <f t="shared" si="14"/>
        <v>ene</v>
      </c>
      <c r="D114" s="1037">
        <f t="shared" si="15"/>
        <v>2024</v>
      </c>
      <c r="E114">
        <f>IF(E113=12,1,E113+1)</f>
        <v>1</v>
      </c>
      <c r="F114" s="1037">
        <f t="shared" si="18"/>
        <v>2024</v>
      </c>
    </row>
    <row r="115" spans="2:6" x14ac:dyDescent="0.3">
      <c r="B115" s="1036">
        <f t="shared" si="16"/>
        <v>86</v>
      </c>
      <c r="C115" s="1036" t="str">
        <f t="shared" si="14"/>
        <v>feb.</v>
      </c>
      <c r="D115" s="1037">
        <f t="shared" si="15"/>
        <v>2024</v>
      </c>
      <c r="E115">
        <f t="shared" ref="E115:E149" si="19">IF(E114=12,1,E114+1)</f>
        <v>2</v>
      </c>
      <c r="F115" s="1037">
        <f t="shared" si="18"/>
        <v>2024</v>
      </c>
    </row>
    <row r="116" spans="2:6" x14ac:dyDescent="0.3">
      <c r="B116" s="1036">
        <f t="shared" si="16"/>
        <v>87</v>
      </c>
      <c r="C116" s="1036" t="str">
        <f t="shared" si="14"/>
        <v>mar.</v>
      </c>
      <c r="D116" s="1037">
        <f t="shared" si="15"/>
        <v>2024</v>
      </c>
      <c r="E116">
        <f t="shared" si="19"/>
        <v>3</v>
      </c>
      <c r="F116" s="1037">
        <f t="shared" si="18"/>
        <v>2024</v>
      </c>
    </row>
    <row r="117" spans="2:6" x14ac:dyDescent="0.3">
      <c r="B117" s="1036">
        <f t="shared" si="16"/>
        <v>88</v>
      </c>
      <c r="C117" s="1036" t="str">
        <f t="shared" si="14"/>
        <v>abr.</v>
      </c>
      <c r="D117" s="1037">
        <f t="shared" si="15"/>
        <v>2024</v>
      </c>
      <c r="E117">
        <f t="shared" si="19"/>
        <v>4</v>
      </c>
      <c r="F117" s="1037">
        <f t="shared" si="18"/>
        <v>2024</v>
      </c>
    </row>
    <row r="118" spans="2:6" x14ac:dyDescent="0.3">
      <c r="B118" s="1036">
        <f t="shared" si="16"/>
        <v>89</v>
      </c>
      <c r="C118" s="1036" t="str">
        <f t="shared" si="14"/>
        <v>may.</v>
      </c>
      <c r="D118" s="1037">
        <f t="shared" si="15"/>
        <v>2024</v>
      </c>
      <c r="E118">
        <f t="shared" si="19"/>
        <v>5</v>
      </c>
      <c r="F118" s="1037">
        <f t="shared" si="18"/>
        <v>2024</v>
      </c>
    </row>
    <row r="119" spans="2:6" x14ac:dyDescent="0.3">
      <c r="B119" s="1036">
        <f t="shared" si="16"/>
        <v>90</v>
      </c>
      <c r="C119" s="1036" t="str">
        <f t="shared" si="14"/>
        <v>jun.</v>
      </c>
      <c r="D119" s="1037">
        <f t="shared" si="15"/>
        <v>2024</v>
      </c>
      <c r="E119">
        <f t="shared" si="19"/>
        <v>6</v>
      </c>
      <c r="F119" s="1037">
        <f t="shared" si="18"/>
        <v>2024</v>
      </c>
    </row>
    <row r="120" spans="2:6" x14ac:dyDescent="0.3">
      <c r="B120" s="1036">
        <f t="shared" si="16"/>
        <v>91</v>
      </c>
      <c r="C120" s="1036" t="str">
        <f t="shared" si="14"/>
        <v>jul.</v>
      </c>
      <c r="D120" s="1037">
        <f t="shared" si="15"/>
        <v>2024</v>
      </c>
      <c r="E120">
        <f t="shared" si="19"/>
        <v>7</v>
      </c>
      <c r="F120" s="1037">
        <f t="shared" si="18"/>
        <v>2024</v>
      </c>
    </row>
    <row r="121" spans="2:6" x14ac:dyDescent="0.3">
      <c r="B121" s="1036">
        <f t="shared" si="16"/>
        <v>92</v>
      </c>
      <c r="C121" s="1036" t="str">
        <f t="shared" si="14"/>
        <v>ago.</v>
      </c>
      <c r="D121" s="1037">
        <f t="shared" si="15"/>
        <v>2024</v>
      </c>
      <c r="E121">
        <f t="shared" si="19"/>
        <v>8</v>
      </c>
      <c r="F121" s="1037">
        <f t="shared" si="18"/>
        <v>2024</v>
      </c>
    </row>
    <row r="122" spans="2:6" x14ac:dyDescent="0.3">
      <c r="B122" s="1036">
        <f t="shared" si="16"/>
        <v>93</v>
      </c>
      <c r="C122" s="1036" t="str">
        <f t="shared" si="14"/>
        <v>sep.</v>
      </c>
      <c r="D122" s="1037">
        <f t="shared" si="15"/>
        <v>2024</v>
      </c>
      <c r="E122">
        <f t="shared" si="19"/>
        <v>9</v>
      </c>
      <c r="F122" s="1037">
        <f t="shared" si="18"/>
        <v>2024</v>
      </c>
    </row>
    <row r="123" spans="2:6" x14ac:dyDescent="0.3">
      <c r="B123" s="1036">
        <f t="shared" si="16"/>
        <v>94</v>
      </c>
      <c r="C123" s="1036" t="str">
        <f t="shared" si="14"/>
        <v>oct.</v>
      </c>
      <c r="D123" s="1037">
        <f t="shared" si="15"/>
        <v>2024</v>
      </c>
      <c r="E123">
        <f t="shared" si="19"/>
        <v>10</v>
      </c>
      <c r="F123" s="1037">
        <f t="shared" si="18"/>
        <v>2024</v>
      </c>
    </row>
    <row r="124" spans="2:6" x14ac:dyDescent="0.3">
      <c r="B124" s="1036">
        <f t="shared" si="16"/>
        <v>95</v>
      </c>
      <c r="C124" s="1036" t="str">
        <f t="shared" si="14"/>
        <v>nov.</v>
      </c>
      <c r="D124" s="1037">
        <f t="shared" si="15"/>
        <v>2024</v>
      </c>
      <c r="E124">
        <f t="shared" si="19"/>
        <v>11</v>
      </c>
      <c r="F124" s="1037">
        <f t="shared" si="18"/>
        <v>2024</v>
      </c>
    </row>
    <row r="125" spans="2:6" x14ac:dyDescent="0.3">
      <c r="B125" s="1036">
        <f t="shared" si="16"/>
        <v>96</v>
      </c>
      <c r="C125" s="1036" t="str">
        <f t="shared" si="14"/>
        <v>dic.</v>
      </c>
      <c r="D125" s="1037">
        <f t="shared" si="15"/>
        <v>2024</v>
      </c>
      <c r="E125">
        <f t="shared" si="19"/>
        <v>12</v>
      </c>
      <c r="F125" s="1037">
        <f t="shared" si="18"/>
        <v>2024</v>
      </c>
    </row>
    <row r="126" spans="2:6" x14ac:dyDescent="0.3">
      <c r="B126" s="1036">
        <f t="shared" si="16"/>
        <v>97</v>
      </c>
      <c r="C126" s="1036" t="str">
        <f t="shared" si="14"/>
        <v>ene</v>
      </c>
      <c r="D126" s="1037">
        <f t="shared" si="15"/>
        <v>2025</v>
      </c>
      <c r="E126">
        <f t="shared" si="19"/>
        <v>1</v>
      </c>
      <c r="F126" s="1037">
        <f t="shared" si="18"/>
        <v>2025</v>
      </c>
    </row>
    <row r="127" spans="2:6" x14ac:dyDescent="0.3">
      <c r="B127" s="1036">
        <f t="shared" si="16"/>
        <v>98</v>
      </c>
      <c r="C127" s="1036" t="str">
        <f t="shared" si="14"/>
        <v>feb.</v>
      </c>
      <c r="D127" s="1037">
        <f t="shared" si="15"/>
        <v>2025</v>
      </c>
      <c r="E127">
        <f t="shared" si="19"/>
        <v>2</v>
      </c>
      <c r="F127" s="1037">
        <f t="shared" si="18"/>
        <v>2025</v>
      </c>
    </row>
    <row r="128" spans="2:6" x14ac:dyDescent="0.3">
      <c r="B128" s="1036">
        <f t="shared" si="16"/>
        <v>99</v>
      </c>
      <c r="C128" s="1036" t="str">
        <f t="shared" si="14"/>
        <v>mar.</v>
      </c>
      <c r="D128" s="1037">
        <f t="shared" si="15"/>
        <v>2025</v>
      </c>
      <c r="E128">
        <f t="shared" si="19"/>
        <v>3</v>
      </c>
      <c r="F128" s="1037">
        <f t="shared" si="18"/>
        <v>2025</v>
      </c>
    </row>
    <row r="129" spans="2:6" x14ac:dyDescent="0.3">
      <c r="B129" s="1036">
        <f t="shared" si="16"/>
        <v>100</v>
      </c>
      <c r="C129" s="1036" t="str">
        <f t="shared" si="14"/>
        <v>abr.</v>
      </c>
      <c r="D129" s="1037">
        <f t="shared" si="15"/>
        <v>2025</v>
      </c>
      <c r="E129">
        <f t="shared" si="19"/>
        <v>4</v>
      </c>
      <c r="F129" s="1037">
        <f t="shared" si="18"/>
        <v>2025</v>
      </c>
    </row>
    <row r="130" spans="2:6" x14ac:dyDescent="0.3">
      <c r="B130" s="1036">
        <f t="shared" si="16"/>
        <v>101</v>
      </c>
      <c r="C130" s="1036" t="str">
        <f t="shared" si="14"/>
        <v>may.</v>
      </c>
      <c r="D130" s="1037">
        <f t="shared" si="15"/>
        <v>2025</v>
      </c>
      <c r="E130">
        <f t="shared" si="19"/>
        <v>5</v>
      </c>
      <c r="F130" s="1037">
        <f t="shared" si="18"/>
        <v>2025</v>
      </c>
    </row>
    <row r="131" spans="2:6" x14ac:dyDescent="0.3">
      <c r="B131" s="1036">
        <f t="shared" si="16"/>
        <v>102</v>
      </c>
      <c r="C131" s="1036" t="str">
        <f t="shared" si="14"/>
        <v>jun.</v>
      </c>
      <c r="D131" s="1037">
        <f t="shared" si="15"/>
        <v>2025</v>
      </c>
      <c r="E131">
        <f t="shared" si="19"/>
        <v>6</v>
      </c>
      <c r="F131" s="1037">
        <f t="shared" si="18"/>
        <v>2025</v>
      </c>
    </row>
    <row r="132" spans="2:6" x14ac:dyDescent="0.3">
      <c r="B132" s="1036">
        <f t="shared" si="16"/>
        <v>103</v>
      </c>
      <c r="C132" s="1036" t="str">
        <f t="shared" si="14"/>
        <v>jul.</v>
      </c>
      <c r="D132" s="1037">
        <f t="shared" si="15"/>
        <v>2025</v>
      </c>
      <c r="E132">
        <f t="shared" si="19"/>
        <v>7</v>
      </c>
      <c r="F132" s="1037">
        <f t="shared" si="18"/>
        <v>2025</v>
      </c>
    </row>
    <row r="133" spans="2:6" x14ac:dyDescent="0.3">
      <c r="B133" s="1036">
        <f t="shared" si="16"/>
        <v>104</v>
      </c>
      <c r="C133" s="1036" t="str">
        <f t="shared" si="14"/>
        <v>ago.</v>
      </c>
      <c r="D133" s="1037">
        <f t="shared" si="15"/>
        <v>2025</v>
      </c>
      <c r="E133">
        <f t="shared" si="19"/>
        <v>8</v>
      </c>
      <c r="F133" s="1037">
        <f t="shared" si="18"/>
        <v>2025</v>
      </c>
    </row>
    <row r="134" spans="2:6" x14ac:dyDescent="0.3">
      <c r="B134" s="1036">
        <f t="shared" si="16"/>
        <v>105</v>
      </c>
      <c r="C134" s="1036" t="str">
        <f t="shared" si="14"/>
        <v>sep.</v>
      </c>
      <c r="D134" s="1037">
        <f t="shared" si="15"/>
        <v>2025</v>
      </c>
      <c r="E134">
        <f t="shared" si="19"/>
        <v>9</v>
      </c>
      <c r="F134" s="1037">
        <f t="shared" si="18"/>
        <v>2025</v>
      </c>
    </row>
    <row r="135" spans="2:6" x14ac:dyDescent="0.3">
      <c r="B135" s="1036">
        <f t="shared" si="16"/>
        <v>106</v>
      </c>
      <c r="C135" s="1036" t="str">
        <f t="shared" si="14"/>
        <v>oct.</v>
      </c>
      <c r="D135" s="1037">
        <f t="shared" si="15"/>
        <v>2025</v>
      </c>
      <c r="E135">
        <f t="shared" si="19"/>
        <v>10</v>
      </c>
      <c r="F135" s="1037">
        <f t="shared" si="18"/>
        <v>2025</v>
      </c>
    </row>
    <row r="136" spans="2:6" x14ac:dyDescent="0.3">
      <c r="B136" s="1036">
        <f t="shared" si="16"/>
        <v>107</v>
      </c>
      <c r="C136" s="1036" t="str">
        <f t="shared" si="14"/>
        <v>nov.</v>
      </c>
      <c r="D136" s="1037">
        <f t="shared" si="15"/>
        <v>2025</v>
      </c>
      <c r="E136">
        <f t="shared" si="19"/>
        <v>11</v>
      </c>
      <c r="F136" s="1037">
        <f t="shared" si="18"/>
        <v>2025</v>
      </c>
    </row>
    <row r="137" spans="2:6" x14ac:dyDescent="0.3">
      <c r="B137" s="1036">
        <f t="shared" si="16"/>
        <v>108</v>
      </c>
      <c r="C137" s="1036" t="str">
        <f t="shared" si="14"/>
        <v>dic.</v>
      </c>
      <c r="D137" s="1037">
        <f t="shared" si="15"/>
        <v>2025</v>
      </c>
      <c r="E137">
        <f t="shared" si="19"/>
        <v>12</v>
      </c>
      <c r="F137" s="1037">
        <f t="shared" si="18"/>
        <v>2025</v>
      </c>
    </row>
    <row r="138" spans="2:6" x14ac:dyDescent="0.3">
      <c r="B138" s="1036">
        <f t="shared" si="16"/>
        <v>109</v>
      </c>
      <c r="C138" s="1036" t="str">
        <f t="shared" si="14"/>
        <v>ene</v>
      </c>
      <c r="D138" s="1037">
        <f t="shared" si="15"/>
        <v>2026</v>
      </c>
      <c r="E138">
        <f t="shared" si="19"/>
        <v>1</v>
      </c>
      <c r="F138" s="1037">
        <f t="shared" si="18"/>
        <v>2026</v>
      </c>
    </row>
    <row r="139" spans="2:6" x14ac:dyDescent="0.3">
      <c r="B139" s="1036">
        <f t="shared" si="16"/>
        <v>110</v>
      </c>
      <c r="C139" s="1036" t="str">
        <f t="shared" si="14"/>
        <v>feb.</v>
      </c>
      <c r="D139" s="1037">
        <f t="shared" si="15"/>
        <v>2026</v>
      </c>
      <c r="E139">
        <f t="shared" si="19"/>
        <v>2</v>
      </c>
      <c r="F139" s="1037">
        <f t="shared" si="18"/>
        <v>2026</v>
      </c>
    </row>
    <row r="140" spans="2:6" x14ac:dyDescent="0.3">
      <c r="B140" s="1036">
        <f t="shared" si="16"/>
        <v>111</v>
      </c>
      <c r="C140" s="1036" t="str">
        <f t="shared" si="14"/>
        <v>mar.</v>
      </c>
      <c r="D140" s="1037">
        <f t="shared" si="15"/>
        <v>2026</v>
      </c>
      <c r="E140">
        <f t="shared" si="19"/>
        <v>3</v>
      </c>
      <c r="F140" s="1037">
        <f t="shared" si="18"/>
        <v>2026</v>
      </c>
    </row>
    <row r="141" spans="2:6" x14ac:dyDescent="0.3">
      <c r="B141" s="1036">
        <f t="shared" si="16"/>
        <v>112</v>
      </c>
      <c r="C141" s="1036" t="str">
        <f t="shared" si="14"/>
        <v>abr.</v>
      </c>
      <c r="D141" s="1037">
        <f t="shared" si="15"/>
        <v>2026</v>
      </c>
      <c r="E141">
        <f t="shared" si="19"/>
        <v>4</v>
      </c>
      <c r="F141" s="1037">
        <f t="shared" si="18"/>
        <v>2026</v>
      </c>
    </row>
    <row r="142" spans="2:6" x14ac:dyDescent="0.3">
      <c r="B142" s="1036">
        <f t="shared" si="16"/>
        <v>113</v>
      </c>
      <c r="C142" s="1036" t="str">
        <f t="shared" si="14"/>
        <v>may.</v>
      </c>
      <c r="D142" s="1037">
        <f t="shared" si="15"/>
        <v>2026</v>
      </c>
      <c r="E142">
        <f t="shared" si="19"/>
        <v>5</v>
      </c>
      <c r="F142" s="1037">
        <f t="shared" si="18"/>
        <v>2026</v>
      </c>
    </row>
    <row r="143" spans="2:6" x14ac:dyDescent="0.3">
      <c r="B143" s="1036">
        <f t="shared" si="16"/>
        <v>114</v>
      </c>
      <c r="C143" s="1036" t="str">
        <f t="shared" si="14"/>
        <v>jun.</v>
      </c>
      <c r="D143" s="1037">
        <f t="shared" si="15"/>
        <v>2026</v>
      </c>
      <c r="E143">
        <f t="shared" si="19"/>
        <v>6</v>
      </c>
      <c r="F143" s="1037">
        <f t="shared" si="18"/>
        <v>2026</v>
      </c>
    </row>
    <row r="144" spans="2:6" x14ac:dyDescent="0.3">
      <c r="B144" s="1036">
        <f t="shared" si="16"/>
        <v>115</v>
      </c>
      <c r="C144" s="1036" t="str">
        <f t="shared" si="14"/>
        <v>jul.</v>
      </c>
      <c r="D144" s="1037">
        <f t="shared" si="15"/>
        <v>2026</v>
      </c>
      <c r="E144">
        <f t="shared" si="19"/>
        <v>7</v>
      </c>
      <c r="F144" s="1037">
        <f t="shared" si="18"/>
        <v>2026</v>
      </c>
    </row>
    <row r="145" spans="2:6" x14ac:dyDescent="0.3">
      <c r="B145" s="1036">
        <f t="shared" si="16"/>
        <v>116</v>
      </c>
      <c r="C145" s="1036" t="str">
        <f t="shared" si="14"/>
        <v>ago.</v>
      </c>
      <c r="D145" s="1037">
        <f t="shared" si="15"/>
        <v>2026</v>
      </c>
      <c r="E145">
        <f t="shared" si="19"/>
        <v>8</v>
      </c>
      <c r="F145" s="1037">
        <f t="shared" si="18"/>
        <v>2026</v>
      </c>
    </row>
    <row r="146" spans="2:6" x14ac:dyDescent="0.3">
      <c r="B146" s="1036">
        <f t="shared" si="16"/>
        <v>117</v>
      </c>
      <c r="C146" s="1036" t="str">
        <f t="shared" si="14"/>
        <v>sep.</v>
      </c>
      <c r="D146" s="1037">
        <f t="shared" si="15"/>
        <v>2026</v>
      </c>
      <c r="E146">
        <f t="shared" si="19"/>
        <v>9</v>
      </c>
      <c r="F146" s="1037">
        <f t="shared" si="18"/>
        <v>2026</v>
      </c>
    </row>
    <row r="147" spans="2:6" x14ac:dyDescent="0.3">
      <c r="B147" s="1036">
        <f t="shared" si="16"/>
        <v>118</v>
      </c>
      <c r="C147" s="1036" t="str">
        <f t="shared" si="14"/>
        <v>oct.</v>
      </c>
      <c r="D147" s="1037">
        <f t="shared" si="15"/>
        <v>2026</v>
      </c>
      <c r="E147">
        <f t="shared" si="19"/>
        <v>10</v>
      </c>
      <c r="F147" s="1037">
        <f t="shared" si="18"/>
        <v>2026</v>
      </c>
    </row>
    <row r="148" spans="2:6" x14ac:dyDescent="0.3">
      <c r="B148" s="1036">
        <f t="shared" si="16"/>
        <v>119</v>
      </c>
      <c r="C148" s="1036" t="str">
        <f t="shared" si="14"/>
        <v>nov.</v>
      </c>
      <c r="D148" s="1037">
        <f t="shared" si="15"/>
        <v>2026</v>
      </c>
      <c r="E148">
        <f t="shared" si="19"/>
        <v>11</v>
      </c>
      <c r="F148" s="1037">
        <f t="shared" si="18"/>
        <v>2026</v>
      </c>
    </row>
    <row r="149" spans="2:6" x14ac:dyDescent="0.3">
      <c r="B149" s="1036">
        <f t="shared" si="16"/>
        <v>120</v>
      </c>
      <c r="C149" s="1036" t="str">
        <f t="shared" si="14"/>
        <v>dic.</v>
      </c>
      <c r="D149" s="1037">
        <f t="shared" si="15"/>
        <v>2026</v>
      </c>
      <c r="E149">
        <f t="shared" si="19"/>
        <v>12</v>
      </c>
      <c r="F149" s="1037">
        <f t="shared" si="18"/>
        <v>2026</v>
      </c>
    </row>
    <row r="150" spans="2:6" x14ac:dyDescent="0.3">
      <c r="B150" s="1036">
        <f t="shared" si="16"/>
        <v>121</v>
      </c>
      <c r="C150" s="1036" t="str">
        <f t="shared" si="14"/>
        <v>ene</v>
      </c>
      <c r="D150" s="1037">
        <f t="shared" si="15"/>
        <v>2027</v>
      </c>
      <c r="E150">
        <f>IF(E149=12,1,E149+1)</f>
        <v>1</v>
      </c>
      <c r="F150" s="1037">
        <f t="shared" si="18"/>
        <v>2027</v>
      </c>
    </row>
    <row r="151" spans="2:6" x14ac:dyDescent="0.3">
      <c r="B151" s="1036">
        <f t="shared" si="16"/>
        <v>122</v>
      </c>
      <c r="C151" s="1036" t="str">
        <f t="shared" si="14"/>
        <v>feb.</v>
      </c>
      <c r="D151" s="1037">
        <f t="shared" si="15"/>
        <v>2027</v>
      </c>
      <c r="E151">
        <f t="shared" ref="E151:E161" si="20">IF(E150=12,1,E150+1)</f>
        <v>2</v>
      </c>
      <c r="F151" s="1037">
        <f t="shared" si="18"/>
        <v>2027</v>
      </c>
    </row>
    <row r="152" spans="2:6" x14ac:dyDescent="0.3">
      <c r="B152" s="1036">
        <f t="shared" si="16"/>
        <v>123</v>
      </c>
      <c r="C152" s="1036" t="str">
        <f t="shared" si="14"/>
        <v>mar.</v>
      </c>
      <c r="D152" s="1037">
        <f t="shared" si="15"/>
        <v>2027</v>
      </c>
      <c r="E152">
        <f t="shared" si="20"/>
        <v>3</v>
      </c>
      <c r="F152" s="1037">
        <f t="shared" si="18"/>
        <v>2027</v>
      </c>
    </row>
    <row r="153" spans="2:6" x14ac:dyDescent="0.3">
      <c r="B153" s="1036">
        <f t="shared" si="16"/>
        <v>124</v>
      </c>
      <c r="C153" s="1036" t="str">
        <f t="shared" si="14"/>
        <v>abr.</v>
      </c>
      <c r="D153" s="1037">
        <f t="shared" si="15"/>
        <v>2027</v>
      </c>
      <c r="E153">
        <f t="shared" si="20"/>
        <v>4</v>
      </c>
      <c r="F153" s="1037">
        <f t="shared" si="18"/>
        <v>2027</v>
      </c>
    </row>
    <row r="154" spans="2:6" x14ac:dyDescent="0.3">
      <c r="B154" s="1036">
        <f t="shared" si="16"/>
        <v>125</v>
      </c>
      <c r="C154" s="1036" t="str">
        <f t="shared" si="14"/>
        <v>may.</v>
      </c>
      <c r="D154" s="1037">
        <f t="shared" si="15"/>
        <v>2027</v>
      </c>
      <c r="E154">
        <f t="shared" si="20"/>
        <v>5</v>
      </c>
      <c r="F154" s="1037">
        <f t="shared" si="18"/>
        <v>2027</v>
      </c>
    </row>
    <row r="155" spans="2:6" x14ac:dyDescent="0.3">
      <c r="B155" s="1036">
        <f t="shared" si="16"/>
        <v>126</v>
      </c>
      <c r="C155" s="1036" t="str">
        <f t="shared" si="14"/>
        <v>jun.</v>
      </c>
      <c r="D155" s="1037">
        <f t="shared" si="15"/>
        <v>2027</v>
      </c>
      <c r="E155">
        <f t="shared" si="20"/>
        <v>6</v>
      </c>
      <c r="F155" s="1037">
        <f t="shared" si="18"/>
        <v>2027</v>
      </c>
    </row>
    <row r="156" spans="2:6" x14ac:dyDescent="0.3">
      <c r="B156" s="1036">
        <f t="shared" si="16"/>
        <v>127</v>
      </c>
      <c r="C156" s="1036" t="str">
        <f t="shared" si="14"/>
        <v>jul.</v>
      </c>
      <c r="D156" s="1037">
        <f t="shared" si="15"/>
        <v>2027</v>
      </c>
      <c r="E156">
        <f t="shared" si="20"/>
        <v>7</v>
      </c>
      <c r="F156" s="1037">
        <f t="shared" si="18"/>
        <v>2027</v>
      </c>
    </row>
    <row r="157" spans="2:6" x14ac:dyDescent="0.3">
      <c r="B157" s="1036">
        <f t="shared" si="16"/>
        <v>128</v>
      </c>
      <c r="C157" s="1036" t="str">
        <f t="shared" si="14"/>
        <v>ago.</v>
      </c>
      <c r="D157" s="1037">
        <f t="shared" si="15"/>
        <v>2027</v>
      </c>
      <c r="E157">
        <f t="shared" si="20"/>
        <v>8</v>
      </c>
      <c r="F157" s="1037">
        <f t="shared" si="18"/>
        <v>2027</v>
      </c>
    </row>
    <row r="158" spans="2:6" x14ac:dyDescent="0.3">
      <c r="B158" s="1036">
        <f t="shared" si="16"/>
        <v>129</v>
      </c>
      <c r="C158" s="1036" t="str">
        <f t="shared" si="14"/>
        <v>sep.</v>
      </c>
      <c r="D158" s="1037">
        <f t="shared" si="15"/>
        <v>2027</v>
      </c>
      <c r="E158">
        <f t="shared" si="20"/>
        <v>9</v>
      </c>
      <c r="F158" s="1037">
        <f t="shared" si="18"/>
        <v>2027</v>
      </c>
    </row>
    <row r="159" spans="2:6" x14ac:dyDescent="0.3">
      <c r="B159" s="1036">
        <f t="shared" si="16"/>
        <v>130</v>
      </c>
      <c r="C159" s="1036" t="str">
        <f>VLOOKUP(E159,$J$30:$K$41,2)</f>
        <v>oct.</v>
      </c>
      <c r="D159" s="1037">
        <f>+F159</f>
        <v>2027</v>
      </c>
      <c r="E159">
        <f t="shared" si="20"/>
        <v>10</v>
      </c>
      <c r="F159" s="1037">
        <f t="shared" si="18"/>
        <v>2027</v>
      </c>
    </row>
    <row r="160" spans="2:6" x14ac:dyDescent="0.3">
      <c r="B160" s="1036">
        <f>+B159+1</f>
        <v>131</v>
      </c>
      <c r="C160" s="1036" t="str">
        <f>VLOOKUP(E160,$J$30:$K$41,2)</f>
        <v>nov.</v>
      </c>
      <c r="D160" s="1037">
        <f>+F160</f>
        <v>2027</v>
      </c>
      <c r="E160">
        <f t="shared" si="20"/>
        <v>11</v>
      </c>
      <c r="F160" s="1037">
        <f t="shared" si="18"/>
        <v>2027</v>
      </c>
    </row>
    <row r="161" spans="2:6" x14ac:dyDescent="0.3">
      <c r="B161" s="1036">
        <f>+B160+1</f>
        <v>132</v>
      </c>
      <c r="C161" s="1036" t="str">
        <f>VLOOKUP(E161,$J$30:$K$41,2)</f>
        <v>dic.</v>
      </c>
      <c r="D161" s="1037">
        <f>+F161</f>
        <v>2027</v>
      </c>
      <c r="E161">
        <f t="shared" si="20"/>
        <v>12</v>
      </c>
      <c r="F161" s="1037">
        <f t="shared" si="18"/>
        <v>2027</v>
      </c>
    </row>
  </sheetData>
  <mergeCells count="9">
    <mergeCell ref="A19:B19"/>
    <mergeCell ref="A20:B20"/>
    <mergeCell ref="A15:B15"/>
    <mergeCell ref="A21:B21"/>
    <mergeCell ref="A2:B2"/>
    <mergeCell ref="A7:N7"/>
    <mergeCell ref="A16:B16"/>
    <mergeCell ref="A17:B17"/>
    <mergeCell ref="A18:B18"/>
  </mergeCells>
  <pageMargins left="0.7" right="0.7" top="0.75" bottom="0.75" header="0.3" footer="0.3"/>
  <pageSetup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64"/>
  <sheetViews>
    <sheetView showGridLines="0" workbookViewId="0">
      <selection activeCell="AE2" sqref="AE2:AJ24"/>
    </sheetView>
  </sheetViews>
  <sheetFormatPr baseColWidth="10" defaultColWidth="10" defaultRowHeight="15" x14ac:dyDescent="0.25"/>
  <cols>
    <col min="1" max="1" width="25.625" style="1186" bestFit="1" customWidth="1"/>
    <col min="2" max="3" width="10.25" style="1186" bestFit="1" customWidth="1"/>
    <col min="4" max="4" width="11.25" style="1186" bestFit="1" customWidth="1"/>
    <col min="5" max="5" width="10.25" style="1186" bestFit="1" customWidth="1"/>
    <col min="6" max="6" width="10" style="1186"/>
    <col min="7" max="7" width="25.625" style="1186" bestFit="1" customWidth="1"/>
    <col min="8" max="12" width="10" style="1186"/>
    <col min="13" max="13" width="27.75" style="1186" customWidth="1"/>
    <col min="14" max="18" width="10" style="1186"/>
    <col min="19" max="19" width="25.625" style="1186" bestFit="1" customWidth="1"/>
    <col min="20" max="24" width="10" style="1186"/>
    <col min="25" max="25" width="25.625" style="1186" bestFit="1" customWidth="1"/>
    <col min="26" max="30" width="10" style="1186"/>
    <col min="31" max="31" width="27.875" style="1186" customWidth="1"/>
    <col min="32" max="36" width="10" style="1186"/>
    <col min="37" max="37" width="25.625" style="1186" bestFit="1" customWidth="1"/>
    <col min="38" max="16384" width="10" style="1186"/>
  </cols>
  <sheetData>
    <row r="1" spans="1:42" x14ac:dyDescent="0.25">
      <c r="R1" s="1187" t="s">
        <v>560</v>
      </c>
      <c r="AJ1" s="1188" t="s">
        <v>561</v>
      </c>
    </row>
    <row r="2" spans="1:42" x14ac:dyDescent="0.25">
      <c r="A2" s="1189"/>
      <c r="B2" s="1190" t="s">
        <v>562</v>
      </c>
      <c r="C2" s="1190"/>
      <c r="D2" s="1190" t="s">
        <v>563</v>
      </c>
      <c r="E2" s="1190"/>
      <c r="F2" s="1190" t="s">
        <v>564</v>
      </c>
      <c r="G2" s="1190"/>
      <c r="H2" s="1190" t="s">
        <v>562</v>
      </c>
      <c r="I2" s="1190"/>
      <c r="J2" s="1190" t="s">
        <v>563</v>
      </c>
      <c r="K2" s="1190"/>
      <c r="L2" s="1190" t="s">
        <v>564</v>
      </c>
      <c r="M2" s="1191" t="s">
        <v>377</v>
      </c>
      <c r="N2" s="1192" t="s">
        <v>562</v>
      </c>
      <c r="O2" s="1979" t="s">
        <v>563</v>
      </c>
      <c r="P2" s="1979"/>
      <c r="Q2" s="1979" t="s">
        <v>564</v>
      </c>
      <c r="R2" s="1979"/>
      <c r="S2" s="1190"/>
      <c r="T2" s="1190" t="s">
        <v>562</v>
      </c>
      <c r="U2" s="1190"/>
      <c r="V2" s="1190" t="s">
        <v>563</v>
      </c>
      <c r="W2" s="1190"/>
      <c r="X2" s="1190" t="s">
        <v>564</v>
      </c>
      <c r="Y2" s="1190"/>
      <c r="Z2" s="1190" t="s">
        <v>562</v>
      </c>
      <c r="AA2" s="1190"/>
      <c r="AB2" s="1190" t="s">
        <v>563</v>
      </c>
      <c r="AC2" s="1190"/>
      <c r="AD2" s="1190" t="s">
        <v>564</v>
      </c>
      <c r="AE2" s="1191" t="s">
        <v>136</v>
      </c>
      <c r="AF2" s="1191" t="s">
        <v>562</v>
      </c>
      <c r="AG2" s="1979" t="s">
        <v>563</v>
      </c>
      <c r="AH2" s="1979"/>
      <c r="AI2" s="1979" t="s">
        <v>564</v>
      </c>
      <c r="AJ2" s="1979"/>
      <c r="AK2" s="1190"/>
      <c r="AL2" s="1190" t="s">
        <v>562</v>
      </c>
      <c r="AM2" s="1190"/>
      <c r="AN2" s="1190" t="s">
        <v>563</v>
      </c>
      <c r="AO2" s="1190"/>
      <c r="AP2" s="1190" t="s">
        <v>564</v>
      </c>
    </row>
    <row r="3" spans="1:42" hidden="1" x14ac:dyDescent="0.25">
      <c r="A3" s="1190"/>
      <c r="B3" s="1188" t="s">
        <v>565</v>
      </c>
      <c r="C3" s="1193"/>
      <c r="D3" s="1190"/>
      <c r="E3" s="1190"/>
      <c r="F3" s="1190"/>
      <c r="G3" s="1190"/>
      <c r="H3" s="1188" t="s">
        <v>566</v>
      </c>
      <c r="I3" s="1193"/>
      <c r="J3" s="1190"/>
      <c r="K3" s="1190"/>
      <c r="L3" s="1190"/>
      <c r="M3" s="1194"/>
      <c r="O3" s="1979"/>
      <c r="P3" s="1979"/>
      <c r="Q3" s="1979"/>
      <c r="R3" s="1979"/>
      <c r="S3" s="1190"/>
      <c r="T3" s="1188" t="s">
        <v>567</v>
      </c>
      <c r="U3" s="1193"/>
      <c r="V3" s="1190"/>
      <c r="W3" s="1190"/>
      <c r="X3" s="1190"/>
      <c r="Y3" s="1195"/>
      <c r="Z3" s="1188" t="s">
        <v>568</v>
      </c>
      <c r="AA3" s="1193"/>
      <c r="AB3" s="1190"/>
      <c r="AC3" s="1190"/>
      <c r="AD3" s="1190"/>
      <c r="AE3" s="1194"/>
      <c r="AF3" s="1196"/>
      <c r="AG3" s="1197"/>
      <c r="AH3" s="1194"/>
      <c r="AI3" s="1194"/>
      <c r="AJ3" s="1194"/>
      <c r="AK3" s="1190"/>
      <c r="AL3" s="1188" t="s">
        <v>569</v>
      </c>
      <c r="AM3" s="1193"/>
      <c r="AN3" s="1190"/>
      <c r="AO3" s="1190"/>
      <c r="AP3" s="1190"/>
    </row>
    <row r="4" spans="1:42" x14ac:dyDescent="0.25">
      <c r="A4" s="1190" t="s">
        <v>570</v>
      </c>
      <c r="B4" s="1198">
        <f>+'19 Resumen'!D9</f>
        <v>80.040000000000006</v>
      </c>
      <c r="C4" s="1195"/>
      <c r="D4" s="1195"/>
      <c r="E4" s="1195"/>
      <c r="F4" s="1195"/>
      <c r="G4" s="1190" t="s">
        <v>570</v>
      </c>
      <c r="H4" s="1198">
        <f>+B4*2</f>
        <v>160.08000000000001</v>
      </c>
      <c r="I4" s="1195"/>
      <c r="J4" s="1195"/>
      <c r="K4" s="1195"/>
      <c r="L4" s="1195"/>
      <c r="M4" s="1199" t="s">
        <v>570</v>
      </c>
      <c r="N4" s="1200">
        <f>+B4*5</f>
        <v>400.20000000000005</v>
      </c>
      <c r="O4" s="1980"/>
      <c r="P4" s="1979"/>
      <c r="Q4" s="1979"/>
      <c r="R4" s="1979"/>
      <c r="S4" s="1190" t="s">
        <v>570</v>
      </c>
      <c r="T4" s="1198">
        <f>+B4*10</f>
        <v>800.40000000000009</v>
      </c>
      <c r="U4" s="1195"/>
      <c r="V4" s="1195"/>
      <c r="W4" s="1195"/>
      <c r="X4" s="1195"/>
      <c r="Y4" s="1190" t="s">
        <v>570</v>
      </c>
      <c r="Z4" s="1198">
        <f>+B4*15</f>
        <v>1200.6000000000001</v>
      </c>
      <c r="AA4" s="1195"/>
      <c r="AB4" s="1195"/>
      <c r="AC4" s="1195"/>
      <c r="AD4" s="1195"/>
      <c r="AE4" s="1199" t="s">
        <v>570</v>
      </c>
      <c r="AF4" s="1200">
        <f>+B4*20</f>
        <v>1600.8000000000002</v>
      </c>
      <c r="AG4" s="1981"/>
      <c r="AH4" s="1982"/>
      <c r="AI4" s="1982"/>
      <c r="AJ4" s="1982"/>
      <c r="AK4" s="1190" t="s">
        <v>570</v>
      </c>
      <c r="AL4" s="1198">
        <f>+B4*25</f>
        <v>2001.0000000000002</v>
      </c>
      <c r="AM4" s="1195"/>
      <c r="AN4" s="1195"/>
      <c r="AO4" s="1195"/>
      <c r="AP4" s="1195"/>
    </row>
    <row r="5" spans="1:42" x14ac:dyDescent="0.25">
      <c r="A5" s="1190" t="s">
        <v>571</v>
      </c>
      <c r="B5" s="1198">
        <f>B4*30</f>
        <v>2401.2000000000003</v>
      </c>
      <c r="C5" s="1195"/>
      <c r="D5" s="1195"/>
      <c r="E5" s="1195"/>
      <c r="F5" s="1195"/>
      <c r="G5" s="1190" t="s">
        <v>571</v>
      </c>
      <c r="H5" s="1198">
        <f>H4*30</f>
        <v>4802.4000000000005</v>
      </c>
      <c r="I5" s="1195"/>
      <c r="J5" s="1195"/>
      <c r="K5" s="1195"/>
      <c r="L5" s="1195"/>
      <c r="M5" s="1199" t="s">
        <v>571</v>
      </c>
      <c r="N5" s="1200">
        <f>N4*30</f>
        <v>12006.000000000002</v>
      </c>
      <c r="O5" s="1980"/>
      <c r="P5" s="1979"/>
      <c r="Q5" s="1979"/>
      <c r="R5" s="1979"/>
      <c r="S5" s="1190" t="s">
        <v>571</v>
      </c>
      <c r="T5" s="1198">
        <f>T4*30</f>
        <v>24012.000000000004</v>
      </c>
      <c r="U5" s="1195"/>
      <c r="V5" s="1195"/>
      <c r="W5" s="1195"/>
      <c r="X5" s="1195"/>
      <c r="Y5" s="1190" t="s">
        <v>571</v>
      </c>
      <c r="Z5" s="1198">
        <f>Z4*30</f>
        <v>36018.000000000007</v>
      </c>
      <c r="AA5" s="1195"/>
      <c r="AB5" s="1195"/>
      <c r="AC5" s="1195"/>
      <c r="AD5" s="1195"/>
      <c r="AE5" s="1199" t="s">
        <v>571</v>
      </c>
      <c r="AF5" s="1200">
        <f>AF4*30</f>
        <v>48024.000000000007</v>
      </c>
      <c r="AG5" s="1981"/>
      <c r="AH5" s="1982"/>
      <c r="AI5" s="1982"/>
      <c r="AJ5" s="1982"/>
      <c r="AK5" s="1190" t="s">
        <v>571</v>
      </c>
      <c r="AL5" s="1198">
        <f>AL4*30</f>
        <v>60030.000000000007</v>
      </c>
      <c r="AM5" s="1195"/>
      <c r="AN5" s="1195"/>
      <c r="AO5" s="1195"/>
      <c r="AP5" s="1195"/>
    </row>
    <row r="6" spans="1:42" x14ac:dyDescent="0.25">
      <c r="A6" s="1190" t="s">
        <v>572</v>
      </c>
      <c r="B6" s="1198">
        <f>B4*G29</f>
        <v>83.658246575342474</v>
      </c>
      <c r="C6" s="1195"/>
      <c r="D6" s="1195"/>
      <c r="E6" s="1195"/>
      <c r="F6" s="1195"/>
      <c r="G6" s="1190" t="s">
        <v>572</v>
      </c>
      <c r="H6" s="1198">
        <f>H4*G29</f>
        <v>167.31649315068495</v>
      </c>
      <c r="I6" s="1195"/>
      <c r="J6" s="1195"/>
      <c r="K6" s="1195"/>
      <c r="L6" s="1195"/>
      <c r="M6" s="1199" t="s">
        <v>573</v>
      </c>
      <c r="N6" s="1200">
        <f>N4*G29</f>
        <v>418.2912328767124</v>
      </c>
      <c r="O6" s="1980"/>
      <c r="P6" s="1979"/>
      <c r="Q6" s="1979"/>
      <c r="R6" s="1979"/>
      <c r="S6" s="1190" t="s">
        <v>572</v>
      </c>
      <c r="T6" s="1198">
        <f>T4*G29</f>
        <v>836.5824657534248</v>
      </c>
      <c r="U6" s="1195"/>
      <c r="V6" s="1195"/>
      <c r="W6" s="1195"/>
      <c r="X6" s="1195"/>
      <c r="Y6" s="1190" t="s">
        <v>572</v>
      </c>
      <c r="Z6" s="1198">
        <f>Z4*G29</f>
        <v>1254.8736986301371</v>
      </c>
      <c r="AA6" s="1195"/>
      <c r="AB6" s="1195"/>
      <c r="AC6" s="1195"/>
      <c r="AD6" s="1195"/>
      <c r="AE6" s="1199" t="s">
        <v>573</v>
      </c>
      <c r="AF6" s="1200">
        <f>AF4*G29</f>
        <v>1673.1649315068496</v>
      </c>
      <c r="AG6" s="1981"/>
      <c r="AH6" s="1982"/>
      <c r="AI6" s="1982"/>
      <c r="AJ6" s="1982"/>
      <c r="AK6" s="1190" t="s">
        <v>572</v>
      </c>
      <c r="AL6" s="1198">
        <f>AL4*G29</f>
        <v>2091.4561643835623</v>
      </c>
      <c r="AM6" s="1195"/>
      <c r="AN6" s="1195"/>
      <c r="AO6" s="1195"/>
      <c r="AP6" s="1195"/>
    </row>
    <row r="7" spans="1:42" x14ac:dyDescent="0.25">
      <c r="A7" s="1190" t="s">
        <v>574</v>
      </c>
      <c r="B7" s="1201">
        <f>B5*G29</f>
        <v>2509.7473972602743</v>
      </c>
      <c r="C7" s="1195"/>
      <c r="D7" s="1195"/>
      <c r="E7" s="1195"/>
      <c r="F7" s="1195"/>
      <c r="G7" s="1190" t="s">
        <v>574</v>
      </c>
      <c r="H7" s="1201">
        <f>H5*G29</f>
        <v>5019.4947945205486</v>
      </c>
      <c r="I7" s="1195"/>
      <c r="J7" s="1195"/>
      <c r="K7" s="1195"/>
      <c r="L7" s="1195"/>
      <c r="M7" s="1199" t="s">
        <v>574</v>
      </c>
      <c r="N7" s="1200">
        <f>N5*G29</f>
        <v>12548.736986301374</v>
      </c>
      <c r="O7" s="1980"/>
      <c r="P7" s="1979"/>
      <c r="Q7" s="1979"/>
      <c r="R7" s="1979"/>
      <c r="S7" s="1190" t="s">
        <v>574</v>
      </c>
      <c r="T7" s="1201">
        <f>T5*G29</f>
        <v>25097.473972602747</v>
      </c>
      <c r="U7" s="1195"/>
      <c r="V7" s="1195"/>
      <c r="W7" s="1195"/>
      <c r="X7" s="1195"/>
      <c r="Y7" s="1190" t="s">
        <v>574</v>
      </c>
      <c r="Z7" s="1201">
        <f>Z5*G29</f>
        <v>37646.210958904121</v>
      </c>
      <c r="AA7" s="1195"/>
      <c r="AB7" s="1195"/>
      <c r="AC7" s="1195"/>
      <c r="AD7" s="1195"/>
      <c r="AE7" s="1199" t="s">
        <v>574</v>
      </c>
      <c r="AF7" s="1200">
        <f>AF5*G29</f>
        <v>50194.947945205495</v>
      </c>
      <c r="AG7" s="1981"/>
      <c r="AH7" s="1982"/>
      <c r="AI7" s="1982"/>
      <c r="AJ7" s="1982"/>
      <c r="AK7" s="1190" t="s">
        <v>574</v>
      </c>
      <c r="AL7" s="1201">
        <f>AL5*G29</f>
        <v>62743.684931506861</v>
      </c>
      <c r="AM7" s="1195"/>
      <c r="AN7" s="1195"/>
      <c r="AO7" s="1195"/>
      <c r="AP7" s="1195"/>
    </row>
    <row r="8" spans="1:42" x14ac:dyDescent="0.25">
      <c r="A8" s="1193" t="s">
        <v>575</v>
      </c>
      <c r="B8" s="1198">
        <f>SUM(D8:F8)</f>
        <v>0</v>
      </c>
      <c r="C8" s="1198"/>
      <c r="D8" s="1198"/>
      <c r="E8" s="1198"/>
      <c r="F8" s="1198"/>
      <c r="G8" s="1193" t="s">
        <v>575</v>
      </c>
      <c r="H8" s="1198">
        <f>SUM(J8:L8)</f>
        <v>0</v>
      </c>
      <c r="I8" s="1198"/>
      <c r="J8" s="1198"/>
      <c r="K8" s="1198"/>
      <c r="L8" s="1202"/>
      <c r="M8" s="1203" t="s">
        <v>575</v>
      </c>
      <c r="N8" s="1200">
        <f>SUM(P8:R8)</f>
        <v>0</v>
      </c>
      <c r="O8" s="1980"/>
      <c r="P8" s="1979"/>
      <c r="Q8" s="1979"/>
      <c r="R8" s="1979"/>
      <c r="S8" s="1193" t="s">
        <v>575</v>
      </c>
      <c r="T8" s="1198">
        <f>SUM(V8:X8)</f>
        <v>0</v>
      </c>
      <c r="U8" s="1198"/>
      <c r="V8" s="1198"/>
      <c r="W8" s="1198"/>
      <c r="X8" s="1198"/>
      <c r="Y8" s="1193" t="s">
        <v>575</v>
      </c>
      <c r="Z8" s="1198">
        <f>SUM(AB8:AD8)</f>
        <v>0</v>
      </c>
      <c r="AA8" s="1198"/>
      <c r="AB8" s="1198"/>
      <c r="AC8" s="1198"/>
      <c r="AD8" s="1202"/>
      <c r="AE8" s="1203" t="s">
        <v>575</v>
      </c>
      <c r="AF8" s="1200">
        <f>SUM(AH8:AJ8)</f>
        <v>0</v>
      </c>
      <c r="AG8" s="1981"/>
      <c r="AH8" s="1982"/>
      <c r="AI8" s="1982"/>
      <c r="AJ8" s="1982"/>
      <c r="AK8" s="1193" t="s">
        <v>575</v>
      </c>
      <c r="AL8" s="1198">
        <f>SUM(AN8:AP8)</f>
        <v>0</v>
      </c>
      <c r="AM8" s="1198"/>
      <c r="AN8" s="1198"/>
      <c r="AO8" s="1198"/>
      <c r="AP8" s="1198"/>
    </row>
    <row r="9" spans="1:42" x14ac:dyDescent="0.25">
      <c r="A9" s="1190" t="s">
        <v>576</v>
      </c>
      <c r="B9" s="1198">
        <f>F9</f>
        <v>511.98846904109593</v>
      </c>
      <c r="D9" s="1198"/>
      <c r="E9" s="1204">
        <v>0.20399999999999999</v>
      </c>
      <c r="F9" s="1198">
        <f>$B$7*E9</f>
        <v>511.98846904109593</v>
      </c>
      <c r="G9" s="1190" t="s">
        <v>576</v>
      </c>
      <c r="H9" s="1198">
        <f>L9</f>
        <v>1023.9769380821919</v>
      </c>
      <c r="J9" s="1198"/>
      <c r="K9" s="1204">
        <v>0.20399999999999999</v>
      </c>
      <c r="L9" s="1202">
        <f>$H$7*K9</f>
        <v>1023.9769380821919</v>
      </c>
      <c r="M9" s="1199" t="s">
        <v>576</v>
      </c>
      <c r="N9" s="1200">
        <f>R9</f>
        <v>2559.9423452054803</v>
      </c>
      <c r="O9" s="1247"/>
      <c r="P9" s="1205"/>
      <c r="Q9" s="1204">
        <v>0.20399999999999999</v>
      </c>
      <c r="R9" s="1198">
        <f>$N$7*Q9</f>
        <v>2559.9423452054803</v>
      </c>
      <c r="S9" s="1190" t="s">
        <v>576</v>
      </c>
      <c r="T9" s="1198">
        <f>X9</f>
        <v>5119.8846904109605</v>
      </c>
      <c r="V9" s="1198"/>
      <c r="W9" s="1204">
        <v>0.20399999999999999</v>
      </c>
      <c r="X9" s="1198">
        <f>$T$7*W9</f>
        <v>5119.8846904109605</v>
      </c>
      <c r="Y9" s="1190" t="s">
        <v>576</v>
      </c>
      <c r="Z9" s="1198">
        <f>AD9</f>
        <v>7679.8270356164403</v>
      </c>
      <c r="AB9" s="1198"/>
      <c r="AC9" s="1204">
        <v>0.20399999999999999</v>
      </c>
      <c r="AD9" s="1202">
        <f>$Z$7*AC9</f>
        <v>7679.8270356164403</v>
      </c>
      <c r="AE9" s="1199" t="s">
        <v>576</v>
      </c>
      <c r="AF9" s="1200">
        <f>AJ9</f>
        <v>10239.769380821921</v>
      </c>
      <c r="AG9" s="1247"/>
      <c r="AH9" s="1205"/>
      <c r="AI9" s="1204">
        <v>0.20399999999999999</v>
      </c>
      <c r="AJ9" s="1198">
        <f>$AF$7*AI9</f>
        <v>10239.769380821921</v>
      </c>
      <c r="AK9" s="1190" t="s">
        <v>576</v>
      </c>
      <c r="AL9" s="1198">
        <f>AP9</f>
        <v>12799.711726027399</v>
      </c>
      <c r="AN9" s="1198"/>
      <c r="AO9" s="1204">
        <v>0.20399999999999999</v>
      </c>
      <c r="AP9" s="1198">
        <f>$AL$7*AO9</f>
        <v>12799.711726027399</v>
      </c>
    </row>
    <row r="10" spans="1:42" x14ac:dyDescent="0.25">
      <c r="A10" s="1190" t="s">
        <v>577</v>
      </c>
      <c r="B10" s="1198">
        <f>D10+F10</f>
        <v>37.646210958904113</v>
      </c>
      <c r="C10" s="1204">
        <v>4.0000000000000001E-3</v>
      </c>
      <c r="D10" s="1198">
        <f>$B$7*C10</f>
        <v>10.038989589041098</v>
      </c>
      <c r="E10" s="1204">
        <v>1.0999999999999999E-2</v>
      </c>
      <c r="F10" s="1198">
        <f t="shared" ref="F10:F18" si="0">$B$7*E10</f>
        <v>27.607221369863016</v>
      </c>
      <c r="G10" s="1190" t="s">
        <v>577</v>
      </c>
      <c r="H10" s="1198">
        <f>J10+L10</f>
        <v>75.292421917808227</v>
      </c>
      <c r="I10" s="1204">
        <v>4.0000000000000001E-3</v>
      </c>
      <c r="J10" s="1198">
        <f>$H$7*I10</f>
        <v>20.077979178082195</v>
      </c>
      <c r="K10" s="1204">
        <v>1.0999999999999999E-2</v>
      </c>
      <c r="L10" s="1202">
        <f t="shared" ref="L10:L18" si="1">$H$7*K10</f>
        <v>55.214442739726032</v>
      </c>
      <c r="M10" s="1199" t="s">
        <v>577</v>
      </c>
      <c r="N10" s="1200">
        <f>P10+R10</f>
        <v>188.23105479452062</v>
      </c>
      <c r="O10" s="1248">
        <v>4.0000000000000001E-3</v>
      </c>
      <c r="P10" s="1198">
        <f>$N$7*O10</f>
        <v>50.194947945205499</v>
      </c>
      <c r="Q10" s="1204">
        <v>1.0999999999999999E-2</v>
      </c>
      <c r="R10" s="1198">
        <f t="shared" ref="R10:R18" si="2">$N$7*Q10</f>
        <v>138.0361068493151</v>
      </c>
      <c r="S10" s="1190" t="s">
        <v>577</v>
      </c>
      <c r="T10" s="1198">
        <f>V10+X10</f>
        <v>376.46210958904123</v>
      </c>
      <c r="U10" s="1204">
        <v>4.0000000000000001E-3</v>
      </c>
      <c r="V10" s="1198">
        <f>$T$7*U10</f>
        <v>100.389895890411</v>
      </c>
      <c r="W10" s="1204">
        <v>1.0999999999999999E-2</v>
      </c>
      <c r="X10" s="1198">
        <f t="shared" ref="X10:X18" si="3">$T$7*W10</f>
        <v>276.07221369863021</v>
      </c>
      <c r="Y10" s="1190" t="s">
        <v>577</v>
      </c>
      <c r="Z10" s="1198">
        <f>AB10+AD10</f>
        <v>564.69316438356179</v>
      </c>
      <c r="AA10" s="1204">
        <v>4.0000000000000001E-3</v>
      </c>
      <c r="AB10" s="1198">
        <f>$Z$7*AA10</f>
        <v>150.58484383561648</v>
      </c>
      <c r="AC10" s="1204">
        <v>1.0999999999999999E-2</v>
      </c>
      <c r="AD10" s="1202">
        <f t="shared" ref="AD10:AD18" si="4">$Z$7*AC10</f>
        <v>414.10832054794531</v>
      </c>
      <c r="AE10" s="1199" t="s">
        <v>577</v>
      </c>
      <c r="AF10" s="1200">
        <f>AH10+AJ10</f>
        <v>752.92421917808247</v>
      </c>
      <c r="AG10" s="1248">
        <v>4.0000000000000001E-3</v>
      </c>
      <c r="AH10" s="1198">
        <f>$AF$7*AG10</f>
        <v>200.77979178082199</v>
      </c>
      <c r="AI10" s="1204">
        <v>1.0999999999999999E-2</v>
      </c>
      <c r="AJ10" s="1198">
        <f t="shared" ref="AJ10:AJ18" si="5">$AF$7*AI10</f>
        <v>552.14442739726042</v>
      </c>
      <c r="AK10" s="1190" t="s">
        <v>577</v>
      </c>
      <c r="AL10" s="1198">
        <f>AN10+AP10</f>
        <v>941.15527397260291</v>
      </c>
      <c r="AM10" s="1204">
        <v>4.0000000000000001E-3</v>
      </c>
      <c r="AN10" s="1198">
        <f>$AL$7*AM10</f>
        <v>250.97473972602745</v>
      </c>
      <c r="AO10" s="1204">
        <v>1.0999999999999999E-2</v>
      </c>
      <c r="AP10" s="1198">
        <f t="shared" ref="AP10:AP18" si="6">$AL$7*AO10</f>
        <v>690.18053424657546</v>
      </c>
    </row>
    <row r="11" spans="1:42" x14ac:dyDescent="0.25">
      <c r="A11" s="1190" t="s">
        <v>578</v>
      </c>
      <c r="B11" s="1198">
        <f>D11+F11</f>
        <v>23.842600273972607</v>
      </c>
      <c r="C11" s="1206">
        <v>2.5000000000000001E-3</v>
      </c>
      <c r="D11" s="1198">
        <f t="shared" ref="D11:D17" si="7">$B$7*C11</f>
        <v>6.2743684931506856</v>
      </c>
      <c r="E11" s="1204">
        <v>7.0000000000000001E-3</v>
      </c>
      <c r="F11" s="1198">
        <f t="shared" si="0"/>
        <v>17.568231780821922</v>
      </c>
      <c r="G11" s="1190" t="s">
        <v>578</v>
      </c>
      <c r="H11" s="1198">
        <f>J11+L11</f>
        <v>47.685200547945215</v>
      </c>
      <c r="I11" s="1206">
        <v>2.5000000000000001E-3</v>
      </c>
      <c r="J11" s="1198">
        <f t="shared" ref="J11:J17" si="8">$H$7*I11</f>
        <v>12.548736986301371</v>
      </c>
      <c r="K11" s="1204">
        <v>7.0000000000000001E-3</v>
      </c>
      <c r="L11" s="1202">
        <f t="shared" si="1"/>
        <v>35.136463561643843</v>
      </c>
      <c r="M11" s="1199" t="s">
        <v>578</v>
      </c>
      <c r="N11" s="1200">
        <f>P11+R11</f>
        <v>119.21300136986305</v>
      </c>
      <c r="O11" s="1249">
        <v>2.5000000000000001E-3</v>
      </c>
      <c r="P11" s="1198">
        <f t="shared" ref="P11:P17" si="9">$N$7*O11</f>
        <v>31.371842465753435</v>
      </c>
      <c r="Q11" s="1204">
        <v>7.0000000000000001E-3</v>
      </c>
      <c r="R11" s="1198">
        <f t="shared" si="2"/>
        <v>87.841158904109619</v>
      </c>
      <c r="S11" s="1190" t="s">
        <v>578</v>
      </c>
      <c r="T11" s="1198">
        <f>V11+X11</f>
        <v>238.4260027397261</v>
      </c>
      <c r="U11" s="1206">
        <v>2.5000000000000001E-3</v>
      </c>
      <c r="V11" s="1198">
        <f t="shared" ref="V11:V13" si="10">$T$7*U11</f>
        <v>62.74368493150687</v>
      </c>
      <c r="W11" s="1204">
        <v>7.0000000000000001E-3</v>
      </c>
      <c r="X11" s="1198">
        <f t="shared" si="3"/>
        <v>175.68231780821924</v>
      </c>
      <c r="Y11" s="1190" t="s">
        <v>578</v>
      </c>
      <c r="Z11" s="1198">
        <f>AB11+AD11</f>
        <v>357.63900410958911</v>
      </c>
      <c r="AA11" s="1206">
        <v>2.5000000000000001E-3</v>
      </c>
      <c r="AB11" s="1198">
        <f t="shared" ref="AB11:AB13" si="11">$Z$7*AA11</f>
        <v>94.115527397260308</v>
      </c>
      <c r="AC11" s="1204">
        <v>7.0000000000000001E-3</v>
      </c>
      <c r="AD11" s="1202">
        <f t="shared" si="4"/>
        <v>263.52347671232883</v>
      </c>
      <c r="AE11" s="1199" t="s">
        <v>578</v>
      </c>
      <c r="AF11" s="1200">
        <f>AH11+AJ11</f>
        <v>476.8520054794522</v>
      </c>
      <c r="AG11" s="1249">
        <v>2.5000000000000001E-3</v>
      </c>
      <c r="AH11" s="1198">
        <f t="shared" ref="AH11:AH13" si="12">$AF$7*AG11</f>
        <v>125.48736986301374</v>
      </c>
      <c r="AI11" s="1204">
        <v>7.0000000000000001E-3</v>
      </c>
      <c r="AJ11" s="1198">
        <f t="shared" si="5"/>
        <v>351.36463561643848</v>
      </c>
      <c r="AK11" s="1190" t="s">
        <v>578</v>
      </c>
      <c r="AL11" s="1198">
        <f>AN11+AP11</f>
        <v>596.06500684931518</v>
      </c>
      <c r="AM11" s="1206">
        <v>2.5000000000000001E-3</v>
      </c>
      <c r="AN11" s="1198">
        <f t="shared" ref="AN11:AN17" si="13">$AL$7*AM11</f>
        <v>156.85921232876714</v>
      </c>
      <c r="AO11" s="1204">
        <v>7.0000000000000001E-3</v>
      </c>
      <c r="AP11" s="1198">
        <f t="shared" si="6"/>
        <v>439.20579452054801</v>
      </c>
    </row>
    <row r="12" spans="1:42" x14ac:dyDescent="0.25">
      <c r="A12" s="1190" t="s">
        <v>579</v>
      </c>
      <c r="B12" s="1198">
        <f>D12+F12</f>
        <v>35.763900410958911</v>
      </c>
      <c r="C12" s="1206">
        <v>3.7499999999999999E-3</v>
      </c>
      <c r="D12" s="1198">
        <f t="shared" si="7"/>
        <v>9.4115527397260283</v>
      </c>
      <c r="E12" s="1204">
        <v>1.0500000000000001E-2</v>
      </c>
      <c r="F12" s="1198">
        <f t="shared" si="0"/>
        <v>26.352347671232881</v>
      </c>
      <c r="G12" s="1190" t="s">
        <v>579</v>
      </c>
      <c r="H12" s="1198">
        <f>J12+L12</f>
        <v>71.527800821917822</v>
      </c>
      <c r="I12" s="1206">
        <v>3.7499999999999999E-3</v>
      </c>
      <c r="J12" s="1198">
        <f t="shared" si="8"/>
        <v>18.823105479452057</v>
      </c>
      <c r="K12" s="1204">
        <v>1.0500000000000001E-2</v>
      </c>
      <c r="L12" s="1202">
        <f t="shared" si="1"/>
        <v>52.704695342465762</v>
      </c>
      <c r="M12" s="1199" t="s">
        <v>579</v>
      </c>
      <c r="N12" s="1200">
        <f>P12+R12</f>
        <v>178.81950205479458</v>
      </c>
      <c r="O12" s="1249">
        <v>3.7499999999999999E-3</v>
      </c>
      <c r="P12" s="1198">
        <f t="shared" si="9"/>
        <v>47.057763698630147</v>
      </c>
      <c r="Q12" s="1204">
        <v>1.0500000000000001E-2</v>
      </c>
      <c r="R12" s="1198">
        <f t="shared" si="2"/>
        <v>131.76173835616444</v>
      </c>
      <c r="S12" s="1190" t="s">
        <v>579</v>
      </c>
      <c r="T12" s="1198">
        <f>V12+X12</f>
        <v>357.63900410958917</v>
      </c>
      <c r="U12" s="1206">
        <v>3.7499999999999999E-3</v>
      </c>
      <c r="V12" s="1198">
        <f t="shared" si="10"/>
        <v>94.115527397260294</v>
      </c>
      <c r="W12" s="1204">
        <v>1.0500000000000001E-2</v>
      </c>
      <c r="X12" s="1198">
        <f t="shared" si="3"/>
        <v>263.52347671232889</v>
      </c>
      <c r="Y12" s="1190" t="s">
        <v>579</v>
      </c>
      <c r="Z12" s="1198">
        <f>AB12+AD12</f>
        <v>536.45850616438372</v>
      </c>
      <c r="AA12" s="1206">
        <v>3.7499999999999999E-3</v>
      </c>
      <c r="AB12" s="1198">
        <f t="shared" si="11"/>
        <v>141.17329109589045</v>
      </c>
      <c r="AC12" s="1204">
        <v>1.0500000000000001E-2</v>
      </c>
      <c r="AD12" s="1202">
        <f t="shared" si="4"/>
        <v>395.2852150684933</v>
      </c>
      <c r="AE12" s="1199" t="s">
        <v>579</v>
      </c>
      <c r="AF12" s="1200">
        <f>AH12+AJ12</f>
        <v>715.27800821917833</v>
      </c>
      <c r="AG12" s="1249">
        <v>3.7499999999999999E-3</v>
      </c>
      <c r="AH12" s="1198">
        <f t="shared" si="12"/>
        <v>188.23105479452059</v>
      </c>
      <c r="AI12" s="1204">
        <v>1.0500000000000001E-2</v>
      </c>
      <c r="AJ12" s="1198">
        <f t="shared" si="5"/>
        <v>527.04695342465777</v>
      </c>
      <c r="AK12" s="1190" t="s">
        <v>579</v>
      </c>
      <c r="AL12" s="1198">
        <f>AN12+AP12</f>
        <v>894.09751027397283</v>
      </c>
      <c r="AM12" s="1206">
        <v>3.7499999999999999E-3</v>
      </c>
      <c r="AN12" s="1198">
        <f t="shared" si="13"/>
        <v>235.28881849315073</v>
      </c>
      <c r="AO12" s="1204">
        <v>1.0500000000000001E-2</v>
      </c>
      <c r="AP12" s="1198">
        <f t="shared" si="6"/>
        <v>658.80869178082207</v>
      </c>
    </row>
    <row r="13" spans="1:42" x14ac:dyDescent="0.25">
      <c r="A13" s="1193" t="s">
        <v>580</v>
      </c>
      <c r="B13" s="1198">
        <f t="shared" ref="B13:B18" si="14">D13+F13</f>
        <v>59.606500684931518</v>
      </c>
      <c r="C13" s="1206">
        <v>6.2500000000000003E-3</v>
      </c>
      <c r="D13" s="1198">
        <f t="shared" si="7"/>
        <v>15.685921232876716</v>
      </c>
      <c r="E13" s="1204">
        <v>1.7500000000000002E-2</v>
      </c>
      <c r="F13" s="1198">
        <f t="shared" si="0"/>
        <v>43.920579452054803</v>
      </c>
      <c r="G13" s="1193" t="s">
        <v>580</v>
      </c>
      <c r="H13" s="1198">
        <f t="shared" ref="H13:H18" si="15">J13+L13</f>
        <v>119.21300136986304</v>
      </c>
      <c r="I13" s="1206">
        <v>6.2500000000000003E-3</v>
      </c>
      <c r="J13" s="1198">
        <f t="shared" si="8"/>
        <v>31.371842465753431</v>
      </c>
      <c r="K13" s="1204">
        <v>1.7500000000000002E-2</v>
      </c>
      <c r="L13" s="1202">
        <f t="shared" si="1"/>
        <v>87.841158904109605</v>
      </c>
      <c r="M13" s="1203" t="s">
        <v>580</v>
      </c>
      <c r="N13" s="1200">
        <f t="shared" ref="N13:N18" si="16">P13+R13</f>
        <v>298.03250342465765</v>
      </c>
      <c r="O13" s="1249">
        <v>6.2500000000000003E-3</v>
      </c>
      <c r="P13" s="1198">
        <f t="shared" si="9"/>
        <v>78.429606164383586</v>
      </c>
      <c r="Q13" s="1204">
        <v>1.7500000000000002E-2</v>
      </c>
      <c r="R13" s="1198">
        <f t="shared" si="2"/>
        <v>219.60289726027406</v>
      </c>
      <c r="S13" s="1193" t="s">
        <v>580</v>
      </c>
      <c r="T13" s="1198">
        <f t="shared" ref="T13:T18" si="17">V13+X13</f>
        <v>596.0650068493153</v>
      </c>
      <c r="U13" s="1206">
        <v>6.2500000000000003E-3</v>
      </c>
      <c r="V13" s="1198">
        <f t="shared" si="10"/>
        <v>156.85921232876717</v>
      </c>
      <c r="W13" s="1204">
        <v>1.7500000000000002E-2</v>
      </c>
      <c r="X13" s="1198">
        <f t="shared" si="3"/>
        <v>439.20579452054812</v>
      </c>
      <c r="Y13" s="1193" t="s">
        <v>580</v>
      </c>
      <c r="Z13" s="1198">
        <f t="shared" ref="Z13:Z18" si="18">AB13+AD13</f>
        <v>894.09751027397294</v>
      </c>
      <c r="AA13" s="1206">
        <v>6.2500000000000003E-3</v>
      </c>
      <c r="AB13" s="1198">
        <f t="shared" si="11"/>
        <v>235.28881849315076</v>
      </c>
      <c r="AC13" s="1204">
        <v>1.7500000000000002E-2</v>
      </c>
      <c r="AD13" s="1202">
        <f t="shared" si="4"/>
        <v>658.80869178082219</v>
      </c>
      <c r="AE13" s="1203" t="s">
        <v>580</v>
      </c>
      <c r="AF13" s="1200">
        <f t="shared" ref="AF13:AF18" si="19">AH13+AJ13</f>
        <v>1192.1300136986306</v>
      </c>
      <c r="AG13" s="1249">
        <v>6.2500000000000003E-3</v>
      </c>
      <c r="AH13" s="1198">
        <f t="shared" si="12"/>
        <v>313.71842465753434</v>
      </c>
      <c r="AI13" s="1204">
        <v>1.7500000000000002E-2</v>
      </c>
      <c r="AJ13" s="1198">
        <f t="shared" si="5"/>
        <v>878.41158904109625</v>
      </c>
      <c r="AK13" s="1193" t="s">
        <v>580</v>
      </c>
      <c r="AL13" s="1198">
        <f t="shared" ref="AL13:AL18" si="20">AN13+AP13</f>
        <v>1490.1625171232881</v>
      </c>
      <c r="AM13" s="1206">
        <v>6.2500000000000003E-3</v>
      </c>
      <c r="AN13" s="1198">
        <f t="shared" si="13"/>
        <v>392.14803082191793</v>
      </c>
      <c r="AO13" s="1204">
        <v>1.7500000000000002E-2</v>
      </c>
      <c r="AP13" s="1198">
        <f t="shared" si="6"/>
        <v>1098.0144863013702</v>
      </c>
    </row>
    <row r="14" spans="1:42" x14ac:dyDescent="0.25">
      <c r="A14" s="1193" t="s">
        <v>581</v>
      </c>
      <c r="B14" s="1198">
        <f t="shared" si="14"/>
        <v>13.642986851506851</v>
      </c>
      <c r="C14" s="1198"/>
      <c r="D14" s="1198"/>
      <c r="E14" s="1207">
        <v>5.4359999999999999E-3</v>
      </c>
      <c r="F14" s="1198">
        <f t="shared" si="0"/>
        <v>13.642986851506851</v>
      </c>
      <c r="G14" s="1193" t="s">
        <v>581</v>
      </c>
      <c r="H14" s="1198">
        <f t="shared" si="15"/>
        <v>27.285973703013703</v>
      </c>
      <c r="I14" s="1198"/>
      <c r="J14" s="1198"/>
      <c r="K14" s="1207">
        <v>5.4359999999999999E-3</v>
      </c>
      <c r="L14" s="1202">
        <f t="shared" si="1"/>
        <v>27.285973703013703</v>
      </c>
      <c r="M14" s="1203" t="s">
        <v>581</v>
      </c>
      <c r="N14" s="1200">
        <f t="shared" si="16"/>
        <v>68.214934257534267</v>
      </c>
      <c r="O14" s="1250"/>
      <c r="P14" s="1205"/>
      <c r="Q14" s="1207">
        <v>5.4359999999999999E-3</v>
      </c>
      <c r="R14" s="1198">
        <f t="shared" si="2"/>
        <v>68.214934257534267</v>
      </c>
      <c r="S14" s="1193" t="s">
        <v>581</v>
      </c>
      <c r="T14" s="1198">
        <f t="shared" si="17"/>
        <v>136.42986851506853</v>
      </c>
      <c r="U14" s="1198"/>
      <c r="V14" s="1198"/>
      <c r="W14" s="1207">
        <v>5.4359999999999999E-3</v>
      </c>
      <c r="X14" s="1198">
        <f t="shared" si="3"/>
        <v>136.42986851506853</v>
      </c>
      <c r="Y14" s="1193" t="s">
        <v>581</v>
      </c>
      <c r="Z14" s="1198">
        <f t="shared" si="18"/>
        <v>204.64480277260279</v>
      </c>
      <c r="AA14" s="1198"/>
      <c r="AB14" s="1198"/>
      <c r="AC14" s="1207">
        <v>5.4359999999999999E-3</v>
      </c>
      <c r="AD14" s="1202">
        <f t="shared" si="4"/>
        <v>204.64480277260279</v>
      </c>
      <c r="AE14" s="1203" t="s">
        <v>581</v>
      </c>
      <c r="AF14" s="1200">
        <f t="shared" si="19"/>
        <v>272.85973703013707</v>
      </c>
      <c r="AG14" s="1250"/>
      <c r="AH14" s="1205"/>
      <c r="AI14" s="1207">
        <v>5.4359999999999999E-3</v>
      </c>
      <c r="AJ14" s="1198">
        <f t="shared" si="5"/>
        <v>272.85973703013707</v>
      </c>
      <c r="AK14" s="1193" t="s">
        <v>581</v>
      </c>
      <c r="AL14" s="1198">
        <f t="shared" si="20"/>
        <v>341.07467128767126</v>
      </c>
      <c r="AM14" s="1198"/>
      <c r="AN14" s="1198"/>
      <c r="AO14" s="1207">
        <v>5.4359999999999999E-3</v>
      </c>
      <c r="AP14" s="1198">
        <f t="shared" si="6"/>
        <v>341.07467128767126</v>
      </c>
    </row>
    <row r="15" spans="1:42" x14ac:dyDescent="0.25">
      <c r="A15" s="1193" t="s">
        <v>582</v>
      </c>
      <c r="B15" s="1198">
        <f t="shared" si="14"/>
        <v>25.097473972602742</v>
      </c>
      <c r="C15" s="1198"/>
      <c r="D15" s="1198"/>
      <c r="E15" s="1208">
        <v>0.01</v>
      </c>
      <c r="F15" s="1198">
        <f t="shared" si="0"/>
        <v>25.097473972602742</v>
      </c>
      <c r="G15" s="1193" t="s">
        <v>582</v>
      </c>
      <c r="H15" s="1198">
        <f t="shared" si="15"/>
        <v>50.194947945205485</v>
      </c>
      <c r="I15" s="1198"/>
      <c r="J15" s="1198"/>
      <c r="K15" s="1208">
        <v>0.01</v>
      </c>
      <c r="L15" s="1202">
        <f t="shared" si="1"/>
        <v>50.194947945205485</v>
      </c>
      <c r="M15" s="1203" t="s">
        <v>582</v>
      </c>
      <c r="N15" s="1200">
        <f t="shared" si="16"/>
        <v>125.48736986301374</v>
      </c>
      <c r="O15" s="1250"/>
      <c r="P15" s="1205"/>
      <c r="Q15" s="1208">
        <v>0.01</v>
      </c>
      <c r="R15" s="1198">
        <f t="shared" si="2"/>
        <v>125.48736986301374</v>
      </c>
      <c r="S15" s="1193" t="s">
        <v>582</v>
      </c>
      <c r="T15" s="1198">
        <f t="shared" si="17"/>
        <v>250.97473972602748</v>
      </c>
      <c r="U15" s="1198"/>
      <c r="V15" s="1198"/>
      <c r="W15" s="1208">
        <v>0.01</v>
      </c>
      <c r="X15" s="1198">
        <f t="shared" si="3"/>
        <v>250.97473972602748</v>
      </c>
      <c r="Y15" s="1193" t="s">
        <v>582</v>
      </c>
      <c r="Z15" s="1198">
        <f t="shared" si="18"/>
        <v>376.46210958904123</v>
      </c>
      <c r="AA15" s="1198"/>
      <c r="AB15" s="1198"/>
      <c r="AC15" s="1208">
        <v>0.01</v>
      </c>
      <c r="AD15" s="1202">
        <f t="shared" si="4"/>
        <v>376.46210958904123</v>
      </c>
      <c r="AE15" s="1203" t="s">
        <v>582</v>
      </c>
      <c r="AF15" s="1200">
        <f t="shared" si="19"/>
        <v>501.94947945205496</v>
      </c>
      <c r="AG15" s="1250"/>
      <c r="AH15" s="1205"/>
      <c r="AI15" s="1208">
        <v>0.01</v>
      </c>
      <c r="AJ15" s="1198">
        <f t="shared" si="5"/>
        <v>501.94947945205496</v>
      </c>
      <c r="AK15" s="1193" t="s">
        <v>582</v>
      </c>
      <c r="AL15" s="1198">
        <f t="shared" si="20"/>
        <v>627.43684931506857</v>
      </c>
      <c r="AM15" s="1198"/>
      <c r="AN15" s="1198"/>
      <c r="AO15" s="1208">
        <v>0.01</v>
      </c>
      <c r="AP15" s="1198">
        <f t="shared" si="6"/>
        <v>627.43684931506857</v>
      </c>
    </row>
    <row r="16" spans="1:42" x14ac:dyDescent="0.25">
      <c r="A16" s="1193" t="s">
        <v>583</v>
      </c>
      <c r="B16" s="1198">
        <f t="shared" si="14"/>
        <v>50.194947945205485</v>
      </c>
      <c r="C16" s="1198"/>
      <c r="D16" s="1198"/>
      <c r="E16" s="1208">
        <v>0.02</v>
      </c>
      <c r="F16" s="1198">
        <f t="shared" si="0"/>
        <v>50.194947945205485</v>
      </c>
      <c r="G16" s="1193" t="s">
        <v>583</v>
      </c>
      <c r="H16" s="1198">
        <f t="shared" si="15"/>
        <v>100.38989589041097</v>
      </c>
      <c r="I16" s="1198"/>
      <c r="J16" s="1198"/>
      <c r="K16" s="1208">
        <v>0.02</v>
      </c>
      <c r="L16" s="1202">
        <f t="shared" si="1"/>
        <v>100.38989589041097</v>
      </c>
      <c r="M16" s="1203" t="s">
        <v>583</v>
      </c>
      <c r="N16" s="1200">
        <f t="shared" si="16"/>
        <v>250.97473972602748</v>
      </c>
      <c r="O16" s="1250"/>
      <c r="P16" s="1205"/>
      <c r="Q16" s="1208">
        <v>0.02</v>
      </c>
      <c r="R16" s="1198">
        <f t="shared" si="2"/>
        <v>250.97473972602748</v>
      </c>
      <c r="S16" s="1193" t="s">
        <v>583</v>
      </c>
      <c r="T16" s="1198">
        <f t="shared" si="17"/>
        <v>501.94947945205496</v>
      </c>
      <c r="U16" s="1198"/>
      <c r="V16" s="1198"/>
      <c r="W16" s="1208">
        <v>0.02</v>
      </c>
      <c r="X16" s="1198">
        <f t="shared" si="3"/>
        <v>501.94947945205496</v>
      </c>
      <c r="Y16" s="1193" t="s">
        <v>583</v>
      </c>
      <c r="Z16" s="1198">
        <f t="shared" si="18"/>
        <v>752.92421917808247</v>
      </c>
      <c r="AA16" s="1198"/>
      <c r="AB16" s="1198"/>
      <c r="AC16" s="1208">
        <v>0.02</v>
      </c>
      <c r="AD16" s="1202">
        <f t="shared" si="4"/>
        <v>752.92421917808247</v>
      </c>
      <c r="AE16" s="1203" t="s">
        <v>583</v>
      </c>
      <c r="AF16" s="1200">
        <f t="shared" si="19"/>
        <v>1003.8989589041099</v>
      </c>
      <c r="AG16" s="1250"/>
      <c r="AH16" s="1205"/>
      <c r="AI16" s="1208">
        <v>0.02</v>
      </c>
      <c r="AJ16" s="1198">
        <f t="shared" si="5"/>
        <v>1003.8989589041099</v>
      </c>
      <c r="AK16" s="1193" t="s">
        <v>583</v>
      </c>
      <c r="AL16" s="1198">
        <f t="shared" si="20"/>
        <v>1254.8736986301371</v>
      </c>
      <c r="AM16" s="1198"/>
      <c r="AN16" s="1198"/>
      <c r="AO16" s="1208">
        <v>0.02</v>
      </c>
      <c r="AP16" s="1198">
        <f t="shared" si="6"/>
        <v>1254.8736986301371</v>
      </c>
    </row>
    <row r="17" spans="1:42" x14ac:dyDescent="0.25">
      <c r="A17" s="1193" t="s">
        <v>584</v>
      </c>
      <c r="B17" s="1198">
        <f t="shared" si="14"/>
        <v>107.29170123287673</v>
      </c>
      <c r="C17" s="1206">
        <v>1.125E-2</v>
      </c>
      <c r="D17" s="1198">
        <f t="shared" si="7"/>
        <v>28.234658219178083</v>
      </c>
      <c r="E17" s="1204">
        <v>3.15E-2</v>
      </c>
      <c r="F17" s="1198">
        <f t="shared" si="0"/>
        <v>79.057043013698646</v>
      </c>
      <c r="G17" s="1193" t="s">
        <v>584</v>
      </c>
      <c r="H17" s="1198">
        <f t="shared" si="15"/>
        <v>214.58340246575347</v>
      </c>
      <c r="I17" s="1206">
        <v>1.125E-2</v>
      </c>
      <c r="J17" s="1198">
        <f t="shared" si="8"/>
        <v>56.469316438356167</v>
      </c>
      <c r="K17" s="1204">
        <v>3.15E-2</v>
      </c>
      <c r="L17" s="1202">
        <f t="shared" si="1"/>
        <v>158.11408602739729</v>
      </c>
      <c r="M17" s="1203" t="s">
        <v>584</v>
      </c>
      <c r="N17" s="1200">
        <f t="shared" si="16"/>
        <v>536.45850616438372</v>
      </c>
      <c r="O17" s="1249">
        <v>1.125E-2</v>
      </c>
      <c r="P17" s="1198">
        <f t="shared" si="9"/>
        <v>141.17329109589045</v>
      </c>
      <c r="Q17" s="1204">
        <v>3.15E-2</v>
      </c>
      <c r="R17" s="1198">
        <f t="shared" si="2"/>
        <v>395.2852150684933</v>
      </c>
      <c r="S17" s="1193" t="s">
        <v>584</v>
      </c>
      <c r="T17" s="1198">
        <f t="shared" si="17"/>
        <v>1072.9170123287674</v>
      </c>
      <c r="U17" s="1206">
        <v>1.125E-2</v>
      </c>
      <c r="V17" s="1198">
        <f>$T$7*U17</f>
        <v>282.3465821917809</v>
      </c>
      <c r="W17" s="1204">
        <v>3.15E-2</v>
      </c>
      <c r="X17" s="1198">
        <f t="shared" si="3"/>
        <v>790.5704301369866</v>
      </c>
      <c r="Y17" s="1193" t="s">
        <v>584</v>
      </c>
      <c r="Z17" s="1198">
        <f t="shared" si="18"/>
        <v>1609.375518493151</v>
      </c>
      <c r="AA17" s="1206">
        <v>1.125E-2</v>
      </c>
      <c r="AB17" s="1198">
        <f>$Z$7*AA17</f>
        <v>423.51987328767137</v>
      </c>
      <c r="AC17" s="1204">
        <v>3.15E-2</v>
      </c>
      <c r="AD17" s="1202">
        <f t="shared" si="4"/>
        <v>1185.8556452054797</v>
      </c>
      <c r="AE17" s="1203" t="s">
        <v>584</v>
      </c>
      <c r="AF17" s="1200">
        <f t="shared" si="19"/>
        <v>2145.8340246575349</v>
      </c>
      <c r="AG17" s="1249">
        <v>1.125E-2</v>
      </c>
      <c r="AH17" s="1198">
        <f>$AF$7*AG17</f>
        <v>564.69316438356179</v>
      </c>
      <c r="AI17" s="1204">
        <v>3.15E-2</v>
      </c>
      <c r="AJ17" s="1198">
        <f t="shared" si="5"/>
        <v>1581.1408602739732</v>
      </c>
      <c r="AK17" s="1193" t="s">
        <v>584</v>
      </c>
      <c r="AL17" s="1198">
        <f t="shared" si="20"/>
        <v>2682.2925308219183</v>
      </c>
      <c r="AM17" s="1206">
        <v>1.125E-2</v>
      </c>
      <c r="AN17" s="1198">
        <f t="shared" si="13"/>
        <v>705.86645547945216</v>
      </c>
      <c r="AO17" s="1204">
        <v>3.15E-2</v>
      </c>
      <c r="AP17" s="1198">
        <f t="shared" si="6"/>
        <v>1976.4260753424662</v>
      </c>
    </row>
    <row r="18" spans="1:42" ht="15.75" thickBot="1" x14ac:dyDescent="0.3">
      <c r="A18" s="1193" t="s">
        <v>585</v>
      </c>
      <c r="B18" s="1198">
        <f t="shared" si="14"/>
        <v>125.48736986301373</v>
      </c>
      <c r="C18" s="1198"/>
      <c r="D18" s="1198"/>
      <c r="E18" s="1209">
        <v>0.05</v>
      </c>
      <c r="F18" s="1198">
        <f t="shared" si="0"/>
        <v>125.48736986301373</v>
      </c>
      <c r="G18" s="1193" t="s">
        <v>585</v>
      </c>
      <c r="H18" s="1198">
        <f t="shared" si="15"/>
        <v>250.97473972602745</v>
      </c>
      <c r="I18" s="1198"/>
      <c r="J18" s="1198"/>
      <c r="K18" s="1209">
        <v>0.05</v>
      </c>
      <c r="L18" s="1202">
        <f t="shared" si="1"/>
        <v>250.97473972602745</v>
      </c>
      <c r="M18" s="1203" t="s">
        <v>585</v>
      </c>
      <c r="N18" s="1200">
        <f t="shared" si="16"/>
        <v>627.43684931506868</v>
      </c>
      <c r="O18" s="1251"/>
      <c r="P18" s="1245"/>
      <c r="Q18" s="1246">
        <v>0.05</v>
      </c>
      <c r="R18" s="1201">
        <f t="shared" si="2"/>
        <v>627.43684931506868</v>
      </c>
      <c r="S18" s="1193" t="s">
        <v>585</v>
      </c>
      <c r="T18" s="1198">
        <f t="shared" si="17"/>
        <v>1254.8736986301374</v>
      </c>
      <c r="U18" s="1198"/>
      <c r="V18" s="1198"/>
      <c r="W18" s="1209">
        <v>0.05</v>
      </c>
      <c r="X18" s="1198">
        <f t="shared" si="3"/>
        <v>1254.8736986301374</v>
      </c>
      <c r="Y18" s="1193" t="s">
        <v>585</v>
      </c>
      <c r="Z18" s="1198">
        <f t="shared" si="18"/>
        <v>1882.3105479452061</v>
      </c>
      <c r="AA18" s="1198"/>
      <c r="AB18" s="1198"/>
      <c r="AC18" s="1209">
        <v>0.05</v>
      </c>
      <c r="AD18" s="1202">
        <f t="shared" si="4"/>
        <v>1882.3105479452061</v>
      </c>
      <c r="AE18" s="1203" t="s">
        <v>585</v>
      </c>
      <c r="AF18" s="1200">
        <f t="shared" si="19"/>
        <v>2509.7473972602747</v>
      </c>
      <c r="AG18" s="1251"/>
      <c r="AH18" s="1245"/>
      <c r="AI18" s="1246">
        <v>0.05</v>
      </c>
      <c r="AJ18" s="1201">
        <f t="shared" si="5"/>
        <v>2509.7473972602747</v>
      </c>
      <c r="AK18" s="1193" t="s">
        <v>585</v>
      </c>
      <c r="AL18" s="1198">
        <f t="shared" si="20"/>
        <v>3137.1842465753434</v>
      </c>
      <c r="AM18" s="1198"/>
      <c r="AN18" s="1198"/>
      <c r="AO18" s="1209">
        <v>0.05</v>
      </c>
      <c r="AP18" s="1198">
        <f t="shared" si="6"/>
        <v>3137.1842465753434</v>
      </c>
    </row>
    <row r="19" spans="1:42" ht="15.75" thickBot="1" x14ac:dyDescent="0.3">
      <c r="A19" s="1190" t="s">
        <v>586</v>
      </c>
      <c r="B19" s="1210">
        <f>SUM(B8:B18)</f>
        <v>990.56216123506874</v>
      </c>
      <c r="C19" s="1210"/>
      <c r="D19" s="1210">
        <f>SUM(D8:D18)</f>
        <v>69.645490273972612</v>
      </c>
      <c r="E19" s="1210"/>
      <c r="F19" s="1210">
        <f>SUM(F8:F18)</f>
        <v>920.91667096109609</v>
      </c>
      <c r="G19" s="1190" t="s">
        <v>586</v>
      </c>
      <c r="H19" s="1210">
        <f>SUM(H8:H18)</f>
        <v>1981.1243224701375</v>
      </c>
      <c r="I19" s="1210"/>
      <c r="J19" s="1210">
        <f>SUM(J8:J18)</f>
        <v>139.29098054794522</v>
      </c>
      <c r="K19" s="1210"/>
      <c r="L19" s="1244">
        <f>SUM(L8:L18)</f>
        <v>1841.8333419221922</v>
      </c>
      <c r="M19" s="1199" t="s">
        <v>586</v>
      </c>
      <c r="N19" s="1200">
        <f>SUM(N8:N18)</f>
        <v>4952.8108061753437</v>
      </c>
      <c r="O19" s="1200"/>
      <c r="P19" s="1198">
        <f>SUM(P8:P18)</f>
        <v>348.2274513698631</v>
      </c>
      <c r="Q19" s="1198"/>
      <c r="R19" s="1198">
        <f>SUM(R8:R18)</f>
        <v>4604.5833548054816</v>
      </c>
      <c r="S19" s="1190" t="s">
        <v>586</v>
      </c>
      <c r="T19" s="1210">
        <f>SUM(T8:T18)</f>
        <v>9905.6216123506874</v>
      </c>
      <c r="U19" s="1210"/>
      <c r="V19" s="1210">
        <f>SUM(V8:V18)</f>
        <v>696.45490273972621</v>
      </c>
      <c r="W19" s="1210"/>
      <c r="X19" s="1210">
        <f>SUM(X8:X18)</f>
        <v>9209.1667096109632</v>
      </c>
      <c r="Y19" s="1190" t="s">
        <v>586</v>
      </c>
      <c r="Z19" s="1210">
        <f>SUM(Z8:Z18)</f>
        <v>14858.43241852603</v>
      </c>
      <c r="AA19" s="1210"/>
      <c r="AB19" s="1210">
        <f>SUM(AB8:AB18)</f>
        <v>1044.6823541095894</v>
      </c>
      <c r="AC19" s="1210"/>
      <c r="AD19" s="1244">
        <f>SUM(AD8:AD18)</f>
        <v>13813.750064416443</v>
      </c>
      <c r="AE19" s="1199" t="s">
        <v>586</v>
      </c>
      <c r="AF19" s="1200">
        <f>SUM(AF8:AF18)</f>
        <v>19811.243224701375</v>
      </c>
      <c r="AG19" s="1200"/>
      <c r="AH19" s="1198">
        <f>SUM(AH8:AH18)</f>
        <v>1392.9098054794524</v>
      </c>
      <c r="AI19" s="1198"/>
      <c r="AJ19" s="1198">
        <f>SUM(AJ8:AJ18)</f>
        <v>18418.333419221926</v>
      </c>
      <c r="AK19" s="1190" t="s">
        <v>586</v>
      </c>
      <c r="AL19" s="1210">
        <f>SUM(AL8:AL18)</f>
        <v>24764.054030876716</v>
      </c>
      <c r="AM19" s="1210"/>
      <c r="AN19" s="1210">
        <f>SUM(AN8:AN18)</f>
        <v>1741.1372568493157</v>
      </c>
      <c r="AO19" s="1210"/>
      <c r="AP19" s="1210">
        <f>SUM(AP8:AP18)</f>
        <v>23022.916774027402</v>
      </c>
    </row>
    <row r="20" spans="1:42" ht="15.75" x14ac:dyDescent="0.3">
      <c r="A20" s="1190" t="s">
        <v>587</v>
      </c>
      <c r="B20" s="1195">
        <f>B5</f>
        <v>2401.2000000000003</v>
      </c>
      <c r="C20" s="1195"/>
      <c r="D20" s="1195"/>
      <c r="E20" s="1195"/>
      <c r="F20" s="1195"/>
      <c r="G20" s="1190" t="s">
        <v>587</v>
      </c>
      <c r="H20" s="1195">
        <f>H5</f>
        <v>4802.4000000000005</v>
      </c>
      <c r="I20" s="1195"/>
      <c r="J20" s="1195"/>
      <c r="K20" s="1195"/>
      <c r="L20" s="1195"/>
      <c r="M20" s="1199" t="s">
        <v>587</v>
      </c>
      <c r="N20" s="1200">
        <f>N5</f>
        <v>12006.000000000002</v>
      </c>
      <c r="O20" s="1252" t="s">
        <v>619</v>
      </c>
      <c r="P20" s="1252" t="s">
        <v>620</v>
      </c>
      <c r="Q20" s="1252" t="s">
        <v>622</v>
      </c>
      <c r="R20" s="1252" t="s">
        <v>621</v>
      </c>
      <c r="S20" s="1190" t="s">
        <v>587</v>
      </c>
      <c r="T20" s="1195">
        <f>T5</f>
        <v>24012.000000000004</v>
      </c>
      <c r="U20" s="1195"/>
      <c r="V20" s="1195"/>
      <c r="W20" s="1195"/>
      <c r="X20" s="1195"/>
      <c r="Y20" s="1190" t="s">
        <v>587</v>
      </c>
      <c r="Z20" s="1195">
        <f>Z5</f>
        <v>36018.000000000007</v>
      </c>
      <c r="AA20" s="1195"/>
      <c r="AB20" s="1195"/>
      <c r="AC20" s="1195"/>
      <c r="AD20" s="1195"/>
      <c r="AE20" s="1199" t="s">
        <v>587</v>
      </c>
      <c r="AF20" s="1200">
        <f>AF5</f>
        <v>48024.000000000007</v>
      </c>
      <c r="AG20" s="1252" t="s">
        <v>619</v>
      </c>
      <c r="AH20" s="1252" t="s">
        <v>620</v>
      </c>
      <c r="AI20" s="1252" t="s">
        <v>622</v>
      </c>
      <c r="AJ20" s="1252" t="s">
        <v>621</v>
      </c>
      <c r="AK20" s="1190" t="s">
        <v>587</v>
      </c>
      <c r="AL20" s="1195">
        <f>AL5</f>
        <v>60030.000000000007</v>
      </c>
      <c r="AM20" s="1195"/>
      <c r="AN20" s="1195"/>
      <c r="AO20" s="1195"/>
      <c r="AP20" s="1195"/>
    </row>
    <row r="21" spans="1:42" x14ac:dyDescent="0.25">
      <c r="A21" s="1211" t="s">
        <v>588</v>
      </c>
      <c r="B21" s="1195">
        <f>C21+F21</f>
        <v>131.44768000000002</v>
      </c>
      <c r="C21" s="1195">
        <f>VLOOKUP(B20,$B$53:$E$63,3)</f>
        <v>9.52</v>
      </c>
      <c r="D21" s="1195">
        <f>VLOOKUP(B20,$B$53:$E$63,4)/100</f>
        <v>6.4000000000000001E-2</v>
      </c>
      <c r="E21" s="1195">
        <f>VLOOKUP(B20,$B$53:$E$63,1)</f>
        <v>496.08</v>
      </c>
      <c r="F21" s="1195">
        <f>(B20-E21)*D21</f>
        <v>121.92768000000002</v>
      </c>
      <c r="G21" s="1211" t="s">
        <v>588</v>
      </c>
      <c r="H21" s="1195">
        <f>I21+L21</f>
        <v>311.64742400000006</v>
      </c>
      <c r="I21" s="1195">
        <f>VLOOKUP(H20,$B$53:$E$63,3)</f>
        <v>247.24</v>
      </c>
      <c r="J21" s="1195">
        <f>VLOOKUP(H20,$B$53:$E$63,4)/100</f>
        <v>0.10880000000000001</v>
      </c>
      <c r="K21" s="1195">
        <f>VLOOKUP(H20,$B$53:$E$63,1)</f>
        <v>4210.42</v>
      </c>
      <c r="L21" s="1195">
        <f>(H20-K21)*J21</f>
        <v>64.407424000000063</v>
      </c>
      <c r="M21" s="1212" t="s">
        <v>588</v>
      </c>
      <c r="N21" s="1200">
        <f>O21+R21</f>
        <v>1455.3619040000001</v>
      </c>
      <c r="O21" s="1253">
        <f>VLOOKUP(N20,$B$53:$E$63,3)</f>
        <v>1090.6099999999999</v>
      </c>
      <c r="P21" s="1253">
        <f>VLOOKUP(N20,$B$53:$E$63,4)/100</f>
        <v>0.21359999999999998</v>
      </c>
      <c r="Q21" s="1253">
        <f>VLOOKUP(N20,$B$53:$E$63,1)</f>
        <v>10298.36</v>
      </c>
      <c r="R21" s="1253">
        <f>(N20-Q21)*P21</f>
        <v>364.75190400000025</v>
      </c>
      <c r="S21" s="1211" t="s">
        <v>588</v>
      </c>
      <c r="T21" s="1195">
        <f>U21+X21</f>
        <v>4089.8678400000008</v>
      </c>
      <c r="U21" s="1195">
        <f>VLOOKUP(T20,$B$53:$E$63,3)</f>
        <v>3327.42</v>
      </c>
      <c r="V21" s="1195">
        <f>VLOOKUP(T20,$B$53:$E$63,4)/100</f>
        <v>0.23519999999999999</v>
      </c>
      <c r="W21" s="1195">
        <f>VLOOKUP(T20,$B$53:$E$63,1)</f>
        <v>20770.3</v>
      </c>
      <c r="X21" s="1195">
        <f>(T20-W21)*V21</f>
        <v>762.44784000000095</v>
      </c>
      <c r="Y21" s="1211" t="s">
        <v>588</v>
      </c>
      <c r="Z21" s="1195">
        <f>AA21+AD21</f>
        <v>7126.2980000000016</v>
      </c>
      <c r="AA21" s="1195">
        <f>VLOOKUP(Z20,$B$53:$E$63,3)</f>
        <v>6141.95</v>
      </c>
      <c r="AB21" s="1195">
        <f>VLOOKUP(Z20,$B$53:$E$63,4)/100</f>
        <v>0.3</v>
      </c>
      <c r="AC21" s="1195">
        <f>VLOOKUP(Z20,$B$53:$E$63,1)</f>
        <v>32736.84</v>
      </c>
      <c r="AD21" s="1195">
        <f>(Z20-AC21)*AB21</f>
        <v>984.34800000000212</v>
      </c>
      <c r="AE21" s="1212" t="s">
        <v>588</v>
      </c>
      <c r="AF21" s="1200">
        <f>AG21+AJ21</f>
        <v>10728.098000000002</v>
      </c>
      <c r="AG21" s="1253">
        <f>VLOOKUP(AF20,$B$53:$E$63,3)</f>
        <v>6141.95</v>
      </c>
      <c r="AH21" s="1253">
        <f>VLOOKUP(AF20,$B$53:$E$63,4)/100</f>
        <v>0.3</v>
      </c>
      <c r="AI21" s="1253">
        <f>VLOOKUP(AF20,$B$53:$E$63,1)</f>
        <v>32736.84</v>
      </c>
      <c r="AJ21" s="1253">
        <f>(AF20-AI21)*AH21</f>
        <v>4586.148000000002</v>
      </c>
      <c r="AK21" s="1211" t="s">
        <v>588</v>
      </c>
      <c r="AL21" s="1195">
        <f>AM21+AP21</f>
        <v>14329.898000000001</v>
      </c>
      <c r="AM21" s="1195">
        <f>VLOOKUP(AL20,$B$53:$E$63,3)</f>
        <v>6141.95</v>
      </c>
      <c r="AN21" s="1195">
        <f>VLOOKUP(AL20,$B$53:$E$63,4)/100</f>
        <v>0.3</v>
      </c>
      <c r="AO21" s="1195">
        <f>VLOOKUP(AL20,$B$53:$E$63,1)</f>
        <v>32736.84</v>
      </c>
      <c r="AP21" s="1195">
        <f>(AL20-AO21)*AN21</f>
        <v>8187.9480000000021</v>
      </c>
    </row>
    <row r="22" spans="1:42" x14ac:dyDescent="0.25">
      <c r="A22" s="1190" t="s">
        <v>589</v>
      </c>
      <c r="B22" s="1240">
        <f>B20-D19-B21</f>
        <v>2200.1068297260276</v>
      </c>
      <c r="C22" s="1195"/>
      <c r="D22" s="1195"/>
      <c r="E22" s="1195"/>
      <c r="F22" s="1195"/>
      <c r="G22" s="1190" t="s">
        <v>589</v>
      </c>
      <c r="H22" s="1240">
        <f>H20-J19-H21</f>
        <v>4351.4615954520559</v>
      </c>
      <c r="I22" s="1195"/>
      <c r="J22" s="1195"/>
      <c r="K22" s="1195"/>
      <c r="L22" s="1195"/>
      <c r="M22" s="1199" t="s">
        <v>589</v>
      </c>
      <c r="N22" s="1200">
        <f>N20-P19-N21</f>
        <v>10202.410644630139</v>
      </c>
      <c r="O22" s="1254" t="s">
        <v>623</v>
      </c>
      <c r="P22" s="1254" t="s">
        <v>624</v>
      </c>
      <c r="Q22" s="1254" t="s">
        <v>625</v>
      </c>
      <c r="R22" s="1195"/>
      <c r="S22" s="1190" t="s">
        <v>589</v>
      </c>
      <c r="T22" s="1240">
        <f>T20-V19-T21</f>
        <v>19225.677257260279</v>
      </c>
      <c r="U22" s="1195"/>
      <c r="V22" s="1195"/>
      <c r="W22" s="1195"/>
      <c r="X22" s="1195"/>
      <c r="Y22" s="1190" t="s">
        <v>589</v>
      </c>
      <c r="Z22" s="1240">
        <f>Z20-AB19-Z21</f>
        <v>27847.019645890417</v>
      </c>
      <c r="AA22" s="1195"/>
      <c r="AB22" s="1195"/>
      <c r="AC22" s="1195"/>
      <c r="AD22" s="1195"/>
      <c r="AE22" s="1199" t="s">
        <v>589</v>
      </c>
      <c r="AF22" s="1200">
        <f>AF20-AH19-AF21</f>
        <v>35902.992194520557</v>
      </c>
      <c r="AG22" s="1254" t="s">
        <v>623</v>
      </c>
      <c r="AH22" s="1254" t="s">
        <v>624</v>
      </c>
      <c r="AI22" s="1254" t="s">
        <v>625</v>
      </c>
      <c r="AJ22" s="1195"/>
      <c r="AK22" s="1190" t="s">
        <v>589</v>
      </c>
      <c r="AL22" s="1240">
        <f>AL20-AN19-AL21</f>
        <v>43958.964743150689</v>
      </c>
      <c r="AM22" s="1195"/>
      <c r="AN22" s="1195"/>
      <c r="AO22" s="1195"/>
      <c r="AP22" s="1195"/>
    </row>
    <row r="23" spans="1:42" x14ac:dyDescent="0.25">
      <c r="A23" s="1190" t="s">
        <v>618</v>
      </c>
      <c r="B23" s="1195">
        <f>SUM(C23:E23)</f>
        <v>140.90375</v>
      </c>
      <c r="C23" s="1195">
        <f>B4*6/12</f>
        <v>40.020000000000003</v>
      </c>
      <c r="D23" s="1195">
        <f>C23*0.25/12</f>
        <v>0.8337500000000001</v>
      </c>
      <c r="E23" s="1195">
        <f>B4*15/12</f>
        <v>100.05000000000001</v>
      </c>
      <c r="F23" s="1195"/>
      <c r="G23" s="1190" t="s">
        <v>618</v>
      </c>
      <c r="H23" s="1195">
        <f>SUM(I23:K23)</f>
        <v>281.8075</v>
      </c>
      <c r="I23" s="1195">
        <f>H4*6/12</f>
        <v>80.040000000000006</v>
      </c>
      <c r="J23" s="1195">
        <f>I23*0.25/12</f>
        <v>1.6675000000000002</v>
      </c>
      <c r="K23" s="1195">
        <f>H4*15/12</f>
        <v>200.10000000000002</v>
      </c>
      <c r="L23" s="1195"/>
      <c r="M23" s="1199" t="s">
        <v>618</v>
      </c>
      <c r="N23" s="1200">
        <f>SUM(O23:Q23)</f>
        <v>704.51875000000007</v>
      </c>
      <c r="O23" s="1253">
        <f>N4*6/12</f>
        <v>200.10000000000002</v>
      </c>
      <c r="P23" s="1253">
        <f>O23*0.25/12</f>
        <v>4.1687500000000002</v>
      </c>
      <c r="Q23" s="1253">
        <f>N4*15/12</f>
        <v>500.25000000000006</v>
      </c>
      <c r="R23" s="1195"/>
      <c r="S23" s="1190" t="s">
        <v>618</v>
      </c>
      <c r="T23" s="1195">
        <f>SUM(U23:W23)</f>
        <v>1409.0375000000001</v>
      </c>
      <c r="U23" s="1195">
        <f>T4*6/12</f>
        <v>400.20000000000005</v>
      </c>
      <c r="V23" s="1195">
        <f>U23*0.25/12</f>
        <v>8.3375000000000004</v>
      </c>
      <c r="W23" s="1195">
        <f>T4*15/12</f>
        <v>1000.5000000000001</v>
      </c>
      <c r="X23" s="1195"/>
      <c r="Y23" s="1190" t="s">
        <v>618</v>
      </c>
      <c r="Z23" s="1195">
        <f>SUM(AA23:AC23)</f>
        <v>2113.5562500000005</v>
      </c>
      <c r="AA23" s="1195">
        <f>Z4*6/12</f>
        <v>600.30000000000007</v>
      </c>
      <c r="AB23" s="1195">
        <f>AA23*0.25/12</f>
        <v>12.506250000000001</v>
      </c>
      <c r="AC23" s="1195">
        <f>Z4*15/12</f>
        <v>1500.7500000000002</v>
      </c>
      <c r="AD23" s="1195"/>
      <c r="AE23" s="1199" t="s">
        <v>618</v>
      </c>
      <c r="AF23" s="1200">
        <f>SUM(AG23:AI23)</f>
        <v>2818.0750000000003</v>
      </c>
      <c r="AG23" s="1253">
        <f>AF4*6/12</f>
        <v>800.40000000000009</v>
      </c>
      <c r="AH23" s="1253">
        <f>AG23*0.25/12</f>
        <v>16.675000000000001</v>
      </c>
      <c r="AI23" s="1253">
        <f>AF4*15/12</f>
        <v>2001.0000000000002</v>
      </c>
      <c r="AJ23" s="1195"/>
      <c r="AK23" s="1190" t="s">
        <v>618</v>
      </c>
      <c r="AL23" s="1195">
        <f>SUM(AM23:AO23)</f>
        <v>3522.5937500000005</v>
      </c>
      <c r="AM23" s="1195">
        <f>AL4*6/12</f>
        <v>1000.5000000000001</v>
      </c>
      <c r="AN23" s="1195">
        <f>AM23*0.25/12</f>
        <v>20.843750000000004</v>
      </c>
      <c r="AO23" s="1195">
        <f>AL4*15/12</f>
        <v>2501.2500000000005</v>
      </c>
      <c r="AP23" s="1195"/>
    </row>
    <row r="24" spans="1:42" x14ac:dyDescent="0.25">
      <c r="A24" s="1190" t="s">
        <v>590</v>
      </c>
      <c r="B24" s="1241">
        <f>(B19+B21+B23)/B22</f>
        <v>0.57402375837919439</v>
      </c>
      <c r="C24" s="1239"/>
      <c r="G24" s="1190" t="s">
        <v>590</v>
      </c>
      <c r="H24" s="1241">
        <f>(H19+H21+H23)/H22</f>
        <v>0.59165850140122289</v>
      </c>
      <c r="I24" s="1239"/>
      <c r="M24" s="1199" t="s">
        <v>590</v>
      </c>
      <c r="N24" s="1243">
        <f>(N19+N21+N23)/N22</f>
        <v>0.69715792746677818</v>
      </c>
      <c r="O24" s="1239"/>
      <c r="S24" s="1190" t="s">
        <v>590</v>
      </c>
      <c r="T24" s="1241">
        <f>(T19+T21+T23)/T22</f>
        <v>0.80124755795187441</v>
      </c>
      <c r="U24" s="1239"/>
      <c r="Y24" s="1190" t="s">
        <v>590</v>
      </c>
      <c r="Z24" s="1241">
        <f>(Z19+Z21+Z23)/Z22</f>
        <v>0.86538117812842463</v>
      </c>
      <c r="AA24" s="1239"/>
      <c r="AE24" s="1199" t="s">
        <v>590</v>
      </c>
      <c r="AF24" s="1243">
        <f>(AF19+AF21+AF23)/AF22</f>
        <v>0.92909850087069668</v>
      </c>
      <c r="AG24" s="1239"/>
      <c r="AK24" s="1190" t="s">
        <v>590</v>
      </c>
      <c r="AL24" s="1241">
        <f>(AL19+AL21+AL23)/AL22</f>
        <v>0.96946199779458786</v>
      </c>
      <c r="AM24" s="1239"/>
    </row>
    <row r="28" spans="1:42" ht="45" x14ac:dyDescent="0.25">
      <c r="A28" s="1213" t="s">
        <v>591</v>
      </c>
      <c r="B28" s="1213" t="s">
        <v>592</v>
      </c>
      <c r="C28" s="1213"/>
      <c r="D28" s="1214" t="s">
        <v>593</v>
      </c>
      <c r="E28" s="1214"/>
      <c r="F28" s="1213" t="s">
        <v>594</v>
      </c>
      <c r="L28" s="1215"/>
      <c r="M28" s="1216" t="s">
        <v>595</v>
      </c>
    </row>
    <row r="29" spans="1:42" x14ac:dyDescent="0.25">
      <c r="A29" s="1186">
        <v>1</v>
      </c>
      <c r="B29" s="1186">
        <v>6</v>
      </c>
      <c r="D29" s="1186">
        <f>B29*0.25</f>
        <v>1.5</v>
      </c>
      <c r="F29" s="1186">
        <v>15</v>
      </c>
      <c r="G29" s="1186">
        <f>(365+(D29+F29))/365</f>
        <v>1.0452054794520549</v>
      </c>
    </row>
    <row r="30" spans="1:42" x14ac:dyDescent="0.25">
      <c r="A30" s="1186">
        <v>2</v>
      </c>
      <c r="B30" s="1186">
        <v>8</v>
      </c>
      <c r="D30" s="1186">
        <f t="shared" ref="D30:D43" si="21">B30*0.25</f>
        <v>2</v>
      </c>
      <c r="F30" s="1186">
        <v>15</v>
      </c>
      <c r="G30" s="1186">
        <f t="shared" ref="G30:G43" si="22">(365+(D30+F30))/365</f>
        <v>1.0465753424657533</v>
      </c>
      <c r="L30" s="1217"/>
      <c r="M30" s="1217"/>
      <c r="N30" s="1217"/>
      <c r="O30" s="1217"/>
      <c r="P30" s="1217"/>
      <c r="Q30" s="1217"/>
      <c r="R30" s="1217"/>
      <c r="S30" s="1217"/>
      <c r="T30" s="1217"/>
      <c r="U30" s="1217"/>
      <c r="V30" s="1217"/>
      <c r="W30" s="1217"/>
    </row>
    <row r="31" spans="1:42" x14ac:dyDescent="0.25">
      <c r="A31" s="1186">
        <v>3</v>
      </c>
      <c r="B31" s="1186">
        <v>10</v>
      </c>
      <c r="D31" s="1186">
        <f t="shared" si="21"/>
        <v>2.5</v>
      </c>
      <c r="F31" s="1186">
        <v>15</v>
      </c>
      <c r="G31" s="1186">
        <f t="shared" si="22"/>
        <v>1.047945205479452</v>
      </c>
      <c r="L31" s="1217"/>
      <c r="M31" s="1218"/>
      <c r="N31" s="1219"/>
      <c r="O31" s="1219"/>
      <c r="P31" s="1219" t="s">
        <v>596</v>
      </c>
      <c r="Q31" s="1219"/>
      <c r="R31" s="1219"/>
      <c r="S31" s="1220" t="s">
        <v>597</v>
      </c>
      <c r="T31" s="1219"/>
      <c r="U31" s="1219"/>
      <c r="V31" s="1221" t="s">
        <v>598</v>
      </c>
      <c r="W31" s="1222"/>
    </row>
    <row r="32" spans="1:42" x14ac:dyDescent="0.25">
      <c r="A32" s="1186">
        <v>4</v>
      </c>
      <c r="B32" s="1186">
        <v>12</v>
      </c>
      <c r="D32" s="1186">
        <f t="shared" si="21"/>
        <v>3</v>
      </c>
      <c r="F32" s="1186">
        <v>15</v>
      </c>
      <c r="G32" s="1186">
        <f t="shared" si="22"/>
        <v>1.0493150684931507</v>
      </c>
      <c r="L32" s="1217"/>
      <c r="M32" s="1223" t="s">
        <v>599</v>
      </c>
      <c r="N32" s="1222"/>
      <c r="O32" s="1222"/>
      <c r="P32" s="1222"/>
      <c r="Q32" s="1222"/>
      <c r="R32" s="1222"/>
      <c r="S32" s="1222"/>
      <c r="T32" s="1222"/>
      <c r="U32" s="1222"/>
      <c r="V32" s="1224"/>
      <c r="W32" s="1222"/>
    </row>
    <row r="33" spans="1:23" x14ac:dyDescent="0.25">
      <c r="A33" s="1186">
        <v>5</v>
      </c>
      <c r="B33" s="1186">
        <v>14</v>
      </c>
      <c r="D33" s="1186">
        <f t="shared" si="21"/>
        <v>3.5</v>
      </c>
      <c r="F33" s="1186">
        <v>15</v>
      </c>
      <c r="G33" s="1186">
        <f t="shared" si="22"/>
        <v>1.0506849315068494</v>
      </c>
      <c r="L33" s="1217"/>
      <c r="M33" s="1223"/>
      <c r="N33" s="1222"/>
      <c r="O33" s="1222"/>
      <c r="P33" s="1222"/>
      <c r="Q33" s="1222"/>
      <c r="R33" s="1222"/>
      <c r="S33" s="1222"/>
      <c r="T33" s="1222"/>
      <c r="U33" s="1222"/>
      <c r="V33" s="1224"/>
      <c r="W33" s="1222"/>
    </row>
    <row r="34" spans="1:23" ht="17.25" x14ac:dyDescent="0.25">
      <c r="A34" s="1186">
        <v>6</v>
      </c>
      <c r="B34" s="1186">
        <v>14</v>
      </c>
      <c r="D34" s="1186">
        <f t="shared" si="21"/>
        <v>3.5</v>
      </c>
      <c r="F34" s="1186">
        <v>15</v>
      </c>
      <c r="G34" s="1186">
        <f t="shared" si="22"/>
        <v>1.0506849315068494</v>
      </c>
      <c r="L34" s="1217"/>
      <c r="M34" s="1223" t="s">
        <v>600</v>
      </c>
      <c r="N34" s="1222" t="s">
        <v>601</v>
      </c>
      <c r="O34" s="1222"/>
      <c r="P34" s="1225">
        <v>0.20399999999999999</v>
      </c>
      <c r="Q34" s="1225"/>
      <c r="R34" s="1226">
        <v>1</v>
      </c>
      <c r="S34" s="1227">
        <v>4.0000000000000001E-3</v>
      </c>
      <c r="T34" s="1222">
        <v>2</v>
      </c>
      <c r="U34" s="1222"/>
      <c r="V34" s="1228">
        <v>0.13900000000000001</v>
      </c>
      <c r="W34" s="1227"/>
    </row>
    <row r="35" spans="1:23" ht="17.25" x14ac:dyDescent="0.25">
      <c r="A35" s="1186">
        <v>7</v>
      </c>
      <c r="B35" s="1186">
        <v>14</v>
      </c>
      <c r="D35" s="1186">
        <f t="shared" si="21"/>
        <v>3.5</v>
      </c>
      <c r="F35" s="1186">
        <v>15</v>
      </c>
      <c r="G35" s="1186">
        <f t="shared" si="22"/>
        <v>1.0506849315068494</v>
      </c>
      <c r="L35" s="1217"/>
      <c r="M35" s="1223" t="s">
        <v>602</v>
      </c>
      <c r="N35" s="1222"/>
      <c r="O35" s="1222"/>
      <c r="P35" s="1227">
        <v>1.0999999999999999E-2</v>
      </c>
      <c r="Q35" s="1227"/>
      <c r="R35" s="1226">
        <v>2</v>
      </c>
      <c r="S35" s="1227"/>
      <c r="T35" s="1222"/>
      <c r="U35" s="1222"/>
      <c r="V35" s="1224"/>
      <c r="W35" s="1222"/>
    </row>
    <row r="36" spans="1:23" ht="17.25" x14ac:dyDescent="0.25">
      <c r="A36" s="1186">
        <v>8</v>
      </c>
      <c r="B36" s="1186">
        <v>14</v>
      </c>
      <c r="D36" s="1186">
        <f t="shared" si="21"/>
        <v>3.5</v>
      </c>
      <c r="F36" s="1186">
        <v>15</v>
      </c>
      <c r="G36" s="1186">
        <f t="shared" si="22"/>
        <v>1.0506849315068494</v>
      </c>
      <c r="L36" s="1217"/>
      <c r="M36" s="1223"/>
      <c r="N36" s="1229" t="s">
        <v>603</v>
      </c>
      <c r="O36" s="1229"/>
      <c r="P36" s="1227">
        <v>7.0000000000000001E-3</v>
      </c>
      <c r="Q36" s="1227"/>
      <c r="R36" s="1226">
        <v>3</v>
      </c>
      <c r="S36" s="1227">
        <v>2.5000000000000001E-3</v>
      </c>
      <c r="T36" s="1222">
        <v>3</v>
      </c>
      <c r="U36" s="1222"/>
      <c r="V36" s="1228">
        <v>5.0000000000000001E-4</v>
      </c>
      <c r="W36" s="1227"/>
    </row>
    <row r="37" spans="1:23" ht="17.25" x14ac:dyDescent="0.25">
      <c r="A37" s="1186">
        <v>9</v>
      </c>
      <c r="B37" s="1186">
        <v>14</v>
      </c>
      <c r="D37" s="1186">
        <f t="shared" si="21"/>
        <v>3.5</v>
      </c>
      <c r="F37" s="1186">
        <v>15</v>
      </c>
      <c r="G37" s="1186">
        <f t="shared" si="22"/>
        <v>1.0506849315068494</v>
      </c>
      <c r="L37" s="1217"/>
      <c r="M37" s="1223" t="s">
        <v>604</v>
      </c>
      <c r="N37" s="1222"/>
      <c r="O37" s="1222"/>
      <c r="P37" s="1227">
        <v>1.7500000000000002E-2</v>
      </c>
      <c r="Q37" s="1227"/>
      <c r="R37" s="1226">
        <v>3</v>
      </c>
      <c r="S37" s="1227">
        <v>6.2500000000000003E-3</v>
      </c>
      <c r="T37" s="1222">
        <v>3</v>
      </c>
      <c r="U37" s="1222"/>
      <c r="V37" s="1228">
        <v>1.25E-3</v>
      </c>
      <c r="W37" s="1227"/>
    </row>
    <row r="38" spans="1:23" ht="17.25" x14ac:dyDescent="0.25">
      <c r="A38" s="1186">
        <v>10</v>
      </c>
      <c r="B38" s="1186">
        <v>15</v>
      </c>
      <c r="D38" s="1186">
        <f t="shared" si="21"/>
        <v>3.75</v>
      </c>
      <c r="F38" s="1186">
        <v>15</v>
      </c>
      <c r="G38" s="1186">
        <f t="shared" si="22"/>
        <v>1.0513698630136987</v>
      </c>
      <c r="L38" s="1217"/>
      <c r="M38" s="1223" t="s">
        <v>605</v>
      </c>
      <c r="N38" s="1222"/>
      <c r="O38" s="1222"/>
      <c r="P38" s="1227">
        <v>0.02</v>
      </c>
      <c r="Q38" s="1227"/>
      <c r="R38" s="1226">
        <v>3</v>
      </c>
      <c r="S38" s="1227"/>
      <c r="T38" s="1222"/>
      <c r="U38" s="1222"/>
      <c r="V38" s="1228"/>
      <c r="W38" s="1227"/>
    </row>
    <row r="39" spans="1:23" ht="17.25" x14ac:dyDescent="0.25">
      <c r="A39" s="1186">
        <v>11</v>
      </c>
      <c r="B39" s="1186">
        <v>16</v>
      </c>
      <c r="D39" s="1186">
        <f t="shared" si="21"/>
        <v>4</v>
      </c>
      <c r="F39" s="1186">
        <v>15</v>
      </c>
      <c r="G39" s="1186">
        <f t="shared" si="22"/>
        <v>1.0520547945205478</v>
      </c>
      <c r="L39" s="1217"/>
      <c r="M39" s="1223" t="s">
        <v>606</v>
      </c>
      <c r="N39" s="1222"/>
      <c r="O39" s="1222"/>
      <c r="P39" s="1227">
        <v>3.15E-2</v>
      </c>
      <c r="Q39" s="1227"/>
      <c r="R39" s="1226">
        <v>3</v>
      </c>
      <c r="S39" s="1227">
        <v>1.125E-2</v>
      </c>
      <c r="T39" s="1222">
        <v>3</v>
      </c>
      <c r="U39" s="1222"/>
      <c r="V39" s="1228">
        <v>2.2499999999999998E-3</v>
      </c>
      <c r="W39" s="1227"/>
    </row>
    <row r="40" spans="1:23" ht="17.25" x14ac:dyDescent="0.25">
      <c r="A40" s="1186">
        <v>12</v>
      </c>
      <c r="B40" s="1186">
        <v>16</v>
      </c>
      <c r="D40" s="1186">
        <f t="shared" si="21"/>
        <v>4</v>
      </c>
      <c r="F40" s="1186">
        <v>15</v>
      </c>
      <c r="G40" s="1186">
        <f t="shared" si="22"/>
        <v>1.0520547945205478</v>
      </c>
      <c r="L40" s="1217"/>
      <c r="M40" s="1223" t="s">
        <v>607</v>
      </c>
      <c r="N40" s="1222"/>
      <c r="O40" s="1222"/>
      <c r="P40" s="1227">
        <v>0.01</v>
      </c>
      <c r="Q40" s="1227"/>
      <c r="R40" s="1226">
        <v>3</v>
      </c>
      <c r="S40" s="1227"/>
      <c r="T40" s="1222"/>
      <c r="U40" s="1222"/>
      <c r="V40" s="1224"/>
      <c r="W40" s="1222"/>
    </row>
    <row r="41" spans="1:23" ht="17.25" x14ac:dyDescent="0.25">
      <c r="A41" s="1186">
        <v>13</v>
      </c>
      <c r="B41" s="1186">
        <v>16</v>
      </c>
      <c r="D41" s="1186">
        <f t="shared" si="21"/>
        <v>4</v>
      </c>
      <c r="F41" s="1186">
        <v>15</v>
      </c>
      <c r="G41" s="1186">
        <f t="shared" si="22"/>
        <v>1.0520547945205478</v>
      </c>
      <c r="L41" s="1217"/>
      <c r="M41" s="1223" t="s">
        <v>608</v>
      </c>
      <c r="N41" s="1222"/>
      <c r="O41" s="1222"/>
      <c r="P41" s="1227"/>
      <c r="Q41" s="1227"/>
      <c r="R41" s="1226"/>
      <c r="S41" s="1227"/>
      <c r="T41" s="1222"/>
      <c r="U41" s="1222"/>
      <c r="V41" s="1224"/>
      <c r="W41" s="1222"/>
    </row>
    <row r="42" spans="1:23" ht="17.25" x14ac:dyDescent="0.25">
      <c r="A42" s="1186">
        <v>14</v>
      </c>
      <c r="B42" s="1186">
        <v>16</v>
      </c>
      <c r="D42" s="1186">
        <f t="shared" si="21"/>
        <v>4</v>
      </c>
      <c r="F42" s="1186">
        <v>15</v>
      </c>
      <c r="G42" s="1186">
        <f t="shared" si="22"/>
        <v>1.0520547945205478</v>
      </c>
      <c r="L42" s="1217"/>
      <c r="M42" s="1223" t="s">
        <v>609</v>
      </c>
      <c r="N42" s="1222"/>
      <c r="O42" s="1222"/>
      <c r="P42" s="1227">
        <v>1.0500000000000001E-2</v>
      </c>
      <c r="Q42" s="1227"/>
      <c r="R42" s="1226">
        <v>3</v>
      </c>
      <c r="S42" s="1227">
        <v>3.8E-3</v>
      </c>
      <c r="T42" s="1222">
        <v>3</v>
      </c>
      <c r="U42" s="1222"/>
      <c r="V42" s="1228">
        <v>7.5000000000000002E-4</v>
      </c>
      <c r="W42" s="1227"/>
    </row>
    <row r="43" spans="1:23" ht="17.25" x14ac:dyDescent="0.25">
      <c r="A43" s="1186">
        <v>15</v>
      </c>
      <c r="B43" s="1186">
        <v>18</v>
      </c>
      <c r="D43" s="1186">
        <f t="shared" si="21"/>
        <v>4.5</v>
      </c>
      <c r="F43" s="1186">
        <v>15</v>
      </c>
      <c r="G43" s="1186">
        <f t="shared" si="22"/>
        <v>1.0534246575342465</v>
      </c>
      <c r="L43" s="1217"/>
      <c r="M43" s="1230" t="s">
        <v>585</v>
      </c>
      <c r="N43" s="1231"/>
      <c r="O43" s="1231"/>
      <c r="P43" s="1232">
        <v>0.05</v>
      </c>
      <c r="Q43" s="1232"/>
      <c r="R43" s="1233">
        <v>3</v>
      </c>
      <c r="S43" s="1231"/>
      <c r="T43" s="1231"/>
      <c r="U43" s="1231"/>
      <c r="V43" s="1234"/>
      <c r="W43" s="1222"/>
    </row>
    <row r="44" spans="1:23" x14ac:dyDescent="0.25">
      <c r="L44" s="1217"/>
      <c r="M44" s="1217"/>
      <c r="N44" s="1217"/>
      <c r="O44" s="1217"/>
      <c r="P44" s="1217"/>
      <c r="Q44" s="1217"/>
      <c r="R44" s="1217"/>
      <c r="S44" s="1217"/>
      <c r="T44" s="1217"/>
      <c r="U44" s="1217"/>
      <c r="V44" s="1217"/>
      <c r="W44" s="1217"/>
    </row>
    <row r="45" spans="1:23" ht="14.45" customHeight="1" x14ac:dyDescent="0.25">
      <c r="L45" s="1217">
        <v>1</v>
      </c>
      <c r="M45" s="1235" t="s">
        <v>610</v>
      </c>
      <c r="N45" s="1217"/>
      <c r="O45" s="1217"/>
      <c r="P45" s="1217"/>
      <c r="Q45" s="1217"/>
      <c r="R45" s="1217"/>
      <c r="S45" s="1217"/>
      <c r="T45" s="1217"/>
      <c r="U45" s="1217"/>
      <c r="V45" s="1217"/>
      <c r="W45" s="1217"/>
    </row>
    <row r="46" spans="1:23" ht="12" customHeight="1" x14ac:dyDescent="0.25">
      <c r="A46" s="1242">
        <v>1</v>
      </c>
      <c r="B46" s="1242">
        <v>15</v>
      </c>
      <c r="C46" s="1242"/>
      <c r="D46" s="1242">
        <f>B46*0.25</f>
        <v>3.75</v>
      </c>
      <c r="E46" s="1242"/>
      <c r="F46" s="1242">
        <v>30</v>
      </c>
      <c r="G46" s="1242">
        <f>(365+(D46+F46))/365</f>
        <v>1.0924657534246576</v>
      </c>
      <c r="L46" s="1217">
        <v>2</v>
      </c>
      <c r="M46" s="1235" t="s">
        <v>611</v>
      </c>
      <c r="N46" s="1217"/>
      <c r="O46" s="1217"/>
      <c r="P46" s="1217"/>
      <c r="Q46" s="1217"/>
      <c r="R46" s="1217"/>
      <c r="S46" s="1217"/>
      <c r="T46" s="1217"/>
      <c r="U46" s="1217"/>
      <c r="V46" s="1217"/>
      <c r="W46" s="1217"/>
    </row>
    <row r="47" spans="1:23" x14ac:dyDescent="0.25">
      <c r="L47" s="1217">
        <v>3</v>
      </c>
      <c r="M47" s="1235" t="s">
        <v>612</v>
      </c>
      <c r="N47" s="1217"/>
      <c r="O47" s="1217"/>
      <c r="P47" s="1217"/>
      <c r="Q47" s="1217"/>
      <c r="R47" s="1217"/>
      <c r="S47" s="1217"/>
      <c r="T47" s="1217"/>
      <c r="U47" s="1217"/>
      <c r="V47" s="1217"/>
      <c r="W47" s="1217"/>
    </row>
    <row r="52" spans="1:13" ht="60" x14ac:dyDescent="0.3">
      <c r="B52" s="1236" t="s">
        <v>613</v>
      </c>
      <c r="C52" s="1236" t="s">
        <v>614</v>
      </c>
      <c r="D52" s="1236" t="s">
        <v>615</v>
      </c>
      <c r="E52" s="1236" t="s">
        <v>616</v>
      </c>
      <c r="H52"/>
      <c r="I52"/>
      <c r="J52"/>
      <c r="K52"/>
      <c r="L52"/>
      <c r="M52"/>
    </row>
    <row r="53" spans="1:13" ht="15.75" x14ac:dyDescent="0.3">
      <c r="A53"/>
      <c r="B53" s="1237">
        <v>0.01</v>
      </c>
      <c r="C53" s="1237">
        <v>496.07</v>
      </c>
      <c r="D53" s="1237">
        <v>0</v>
      </c>
      <c r="E53" s="1238">
        <v>1.92</v>
      </c>
    </row>
    <row r="54" spans="1:13" ht="15.75" x14ac:dyDescent="0.3">
      <c r="A54"/>
      <c r="B54" s="1237">
        <v>496.08</v>
      </c>
      <c r="C54" s="1237">
        <v>4210.41</v>
      </c>
      <c r="D54" s="1237">
        <v>9.52</v>
      </c>
      <c r="E54" s="1238">
        <v>6.4</v>
      </c>
    </row>
    <row r="55" spans="1:13" ht="15.75" x14ac:dyDescent="0.3">
      <c r="A55"/>
      <c r="B55" s="1237">
        <v>4210.42</v>
      </c>
      <c r="C55" s="1237">
        <v>7399.42</v>
      </c>
      <c r="D55" s="1237">
        <v>247.24</v>
      </c>
      <c r="E55" s="1238">
        <v>10.88</v>
      </c>
    </row>
    <row r="56" spans="1:13" ht="15.75" x14ac:dyDescent="0.3">
      <c r="A56"/>
      <c r="B56" s="1237">
        <v>7399.43</v>
      </c>
      <c r="C56" s="1237">
        <v>8601.5</v>
      </c>
      <c r="D56" s="1237">
        <v>594.21</v>
      </c>
      <c r="E56" s="1238">
        <v>16</v>
      </c>
    </row>
    <row r="57" spans="1:13" ht="15.75" x14ac:dyDescent="0.3">
      <c r="A57"/>
      <c r="B57" s="1237">
        <v>8601.51</v>
      </c>
      <c r="C57" s="1237">
        <v>10298.35</v>
      </c>
      <c r="D57" s="1237">
        <v>786.54</v>
      </c>
      <c r="E57" s="1238">
        <v>17.920000000000002</v>
      </c>
    </row>
    <row r="58" spans="1:13" ht="15.75" x14ac:dyDescent="0.3">
      <c r="A58"/>
      <c r="B58" s="1237">
        <v>10298.36</v>
      </c>
      <c r="C58" s="1237">
        <v>20770.29</v>
      </c>
      <c r="D58" s="1237">
        <v>1090.6099999999999</v>
      </c>
      <c r="E58" s="1238">
        <v>21.36</v>
      </c>
    </row>
    <row r="59" spans="1:13" ht="15.75" x14ac:dyDescent="0.3">
      <c r="A59"/>
      <c r="B59" s="1237">
        <v>20770.3</v>
      </c>
      <c r="C59" s="1237">
        <v>32736.83</v>
      </c>
      <c r="D59" s="1237">
        <v>3327.42</v>
      </c>
      <c r="E59" s="1238">
        <v>23.52</v>
      </c>
    </row>
    <row r="60" spans="1:13" ht="15.75" x14ac:dyDescent="0.3">
      <c r="A60"/>
      <c r="B60" s="1237">
        <v>32736.84</v>
      </c>
      <c r="C60" s="1237">
        <v>62500</v>
      </c>
      <c r="D60" s="1237">
        <v>6141.95</v>
      </c>
      <c r="E60" s="1238">
        <v>30</v>
      </c>
    </row>
    <row r="61" spans="1:13" ht="15.75" x14ac:dyDescent="0.3">
      <c r="A61"/>
      <c r="B61" s="1237">
        <v>62500.01</v>
      </c>
      <c r="C61" s="1237">
        <v>83333.33</v>
      </c>
      <c r="D61" s="1237">
        <v>15070.9</v>
      </c>
      <c r="E61" s="1238">
        <v>32</v>
      </c>
    </row>
    <row r="62" spans="1:13" ht="15.75" x14ac:dyDescent="0.3">
      <c r="A62"/>
      <c r="B62" s="1237">
        <v>83333.34</v>
      </c>
      <c r="C62" s="1237">
        <v>250000</v>
      </c>
      <c r="D62" s="1237">
        <v>21737.57</v>
      </c>
      <c r="E62" s="1238">
        <v>34</v>
      </c>
    </row>
    <row r="63" spans="1:13" ht="15.75" x14ac:dyDescent="0.3">
      <c r="A63"/>
      <c r="B63" s="1237">
        <v>250000.01</v>
      </c>
      <c r="C63" s="1237" t="s">
        <v>617</v>
      </c>
      <c r="D63" s="1237">
        <v>78404.23</v>
      </c>
      <c r="E63" s="1238">
        <v>35</v>
      </c>
    </row>
    <row r="64" spans="1:13" ht="15.75" x14ac:dyDescent="0.3">
      <c r="A64"/>
      <c r="B64"/>
      <c r="C64"/>
      <c r="D64"/>
    </row>
  </sheetData>
  <mergeCells count="8">
    <mergeCell ref="O2:P2"/>
    <mergeCell ref="Q2:R2"/>
    <mergeCell ref="AG2:AH2"/>
    <mergeCell ref="AI2:AJ2"/>
    <mergeCell ref="O3:P8"/>
    <mergeCell ref="Q3:R8"/>
    <mergeCell ref="AG4:AH8"/>
    <mergeCell ref="AI4:AJ8"/>
  </mergeCells>
  <pageMargins left="0.7" right="0.7" top="0.75" bottom="0.75" header="0.3" footer="0.3"/>
  <pageSetup orientation="portrait" horizontalDpi="1200" verticalDpi="120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00B050"/>
    <pageSetUpPr fitToPage="1"/>
  </sheetPr>
  <dimension ref="A1:AK356"/>
  <sheetViews>
    <sheetView showGridLines="0" tabSelected="1" zoomScale="60" zoomScaleNormal="60" workbookViewId="0">
      <selection activeCell="M8" sqref="M8"/>
    </sheetView>
  </sheetViews>
  <sheetFormatPr baseColWidth="10" defaultColWidth="10" defaultRowHeight="12.75" x14ac:dyDescent="0.2"/>
  <cols>
    <col min="1" max="2" width="14.625" style="10" customWidth="1"/>
    <col min="3" max="3" width="14.25" style="10" customWidth="1"/>
    <col min="4" max="14" width="14.625" style="10" customWidth="1"/>
    <col min="15" max="15" width="4.625" style="10" customWidth="1"/>
    <col min="16" max="18" width="4.625" style="10" hidden="1" customWidth="1"/>
    <col min="19" max="22" width="4.625" style="18" hidden="1" customWidth="1"/>
    <col min="23" max="24" width="4.625" style="10" hidden="1" customWidth="1"/>
    <col min="25" max="25" width="4.625" style="10" customWidth="1"/>
    <col min="26" max="26" width="10" style="10"/>
    <col min="27" max="33" width="17.625" style="10" customWidth="1"/>
    <col min="34" max="37" width="11.625" style="10" customWidth="1"/>
    <col min="38" max="16384" width="10" style="10"/>
  </cols>
  <sheetData>
    <row r="1" spans="1:21" ht="32.25" customHeight="1" x14ac:dyDescent="0.3">
      <c r="A1" s="2027" t="str">
        <f>+'19 Resumen'!D4</f>
        <v>La Lasaña de Garfield</v>
      </c>
      <c r="B1" s="2028"/>
      <c r="C1" s="2028"/>
      <c r="D1" s="2028"/>
      <c r="E1" s="2028"/>
      <c r="F1" s="2028"/>
      <c r="G1" s="2028"/>
      <c r="H1" s="2028"/>
      <c r="I1" s="2028"/>
      <c r="J1" s="2028"/>
      <c r="K1" s="2028"/>
      <c r="L1" s="2028"/>
      <c r="M1" s="2029"/>
      <c r="N1" s="15"/>
      <c r="O1" s="648"/>
      <c r="P1"/>
      <c r="Q1"/>
      <c r="R1"/>
      <c r="S1"/>
      <c r="T1"/>
      <c r="U1"/>
    </row>
    <row r="2" spans="1:21" ht="18" customHeight="1" x14ac:dyDescent="0.3">
      <c r="A2" s="764" t="s">
        <v>283</v>
      </c>
      <c r="B2" s="41"/>
      <c r="C2" s="41"/>
      <c r="D2" s="2039">
        <f>DATE(2017,1,12)</f>
        <v>42747</v>
      </c>
      <c r="E2" s="2039"/>
      <c r="F2" s="2039"/>
      <c r="G2" s="2040"/>
      <c r="H2" s="2033" t="s">
        <v>191</v>
      </c>
      <c r="I2" s="2034"/>
      <c r="J2" s="1124" t="s">
        <v>115</v>
      </c>
      <c r="K2" s="1125"/>
      <c r="L2" s="1126"/>
      <c r="M2" s="767">
        <v>0.7</v>
      </c>
      <c r="N2" s="15"/>
      <c r="P2"/>
      <c r="Q2"/>
      <c r="R2"/>
      <c r="S2"/>
      <c r="T2"/>
      <c r="U2"/>
    </row>
    <row r="3" spans="1:21" ht="18" customHeight="1" x14ac:dyDescent="0.3">
      <c r="A3" s="764" t="s">
        <v>361</v>
      </c>
      <c r="B3" s="41"/>
      <c r="C3" s="41"/>
      <c r="D3" s="2058">
        <f>DATE(+'17 Hoja de Trabajo'!D2,'17 Hoja de Trabajo'!F2,+'17 Hoja de Trabajo'!H2)</f>
        <v>42793</v>
      </c>
      <c r="E3" s="2058"/>
      <c r="F3" s="2058"/>
      <c r="G3" s="2059"/>
      <c r="H3" s="1127" t="s">
        <v>449</v>
      </c>
      <c r="I3" s="1128" t="str">
        <f>CONCATENATE('17 Hoja de Trabajo'!C30," ",'17 Hoja de Trabajo'!D30, "=  1 ")</f>
        <v xml:space="preserve">ene 2017=  1 </v>
      </c>
      <c r="J3" s="1129" t="str">
        <f>CONCATENATE('17 Hoja de Trabajo'!C42," ", '17 Hoja de Trabajo'!D42, " =  13")</f>
        <v>ene 2018 =  13</v>
      </c>
      <c r="K3" s="1129" t="str">
        <f>CONCATENATE('17 Hoja de Trabajo'!C54," ", '17 Hoja de Trabajo'!D54, " =  25")</f>
        <v>ene 2019 =  25</v>
      </c>
      <c r="L3" s="1129" t="str">
        <f>CONCATENATE('17 Hoja de Trabajo'!C66," ", '17 Hoja de Trabajo'!D66, " =  37")</f>
        <v>ene 2020 =  37</v>
      </c>
      <c r="M3" s="1130">
        <v>3</v>
      </c>
      <c r="N3" s="15"/>
      <c r="P3"/>
      <c r="Q3"/>
      <c r="R3"/>
      <c r="S3"/>
      <c r="T3"/>
      <c r="U3"/>
    </row>
    <row r="4" spans="1:21" ht="18" customHeight="1" x14ac:dyDescent="0.3">
      <c r="A4" s="764" t="s">
        <v>47</v>
      </c>
      <c r="B4" s="41"/>
      <c r="C4" s="41"/>
      <c r="D4" s="2041" t="s">
        <v>556</v>
      </c>
      <c r="E4" s="2041"/>
      <c r="F4" s="2041"/>
      <c r="G4" s="2042"/>
      <c r="H4" s="766" t="s">
        <v>631</v>
      </c>
      <c r="I4" s="1268" t="str">
        <f>+I3</f>
        <v xml:space="preserve">ene 2017=  1 </v>
      </c>
      <c r="J4" s="1268" t="str">
        <f t="shared" ref="J4:L4" si="0">+J3</f>
        <v>ene 2018 =  13</v>
      </c>
      <c r="K4" s="1268" t="str">
        <f t="shared" si="0"/>
        <v>ene 2019 =  25</v>
      </c>
      <c r="L4" s="1268" t="str">
        <f t="shared" si="0"/>
        <v>ene 2020 =  37</v>
      </c>
      <c r="M4" s="1269">
        <v>6</v>
      </c>
      <c r="N4" s="654"/>
      <c r="O4" s="654"/>
      <c r="P4"/>
      <c r="Q4"/>
      <c r="R4"/>
      <c r="S4"/>
      <c r="T4"/>
      <c r="U4"/>
    </row>
    <row r="5" spans="1:21" ht="18" customHeight="1" x14ac:dyDescent="0.3">
      <c r="A5" s="764" t="s">
        <v>268</v>
      </c>
      <c r="B5" s="41"/>
      <c r="C5" s="41"/>
      <c r="D5" s="2041" t="s">
        <v>450</v>
      </c>
      <c r="E5" s="2041"/>
      <c r="F5" s="2041"/>
      <c r="G5" s="2042"/>
      <c r="H5" s="26" t="s">
        <v>321</v>
      </c>
      <c r="I5" s="27"/>
      <c r="J5" s="27"/>
      <c r="K5" s="25"/>
      <c r="L5" s="25"/>
      <c r="M5" s="296">
        <v>22.5</v>
      </c>
      <c r="N5" s="15"/>
      <c r="O5" s="648"/>
      <c r="P5"/>
      <c r="Q5"/>
      <c r="R5"/>
      <c r="S5"/>
      <c r="T5"/>
      <c r="U5"/>
    </row>
    <row r="6" spans="1:21" ht="18" customHeight="1" x14ac:dyDescent="0.3">
      <c r="A6" s="764" t="s">
        <v>48</v>
      </c>
      <c r="B6" s="41"/>
      <c r="C6" s="41"/>
      <c r="D6" t="s">
        <v>451</v>
      </c>
      <c r="E6" s="2051" t="s">
        <v>559</v>
      </c>
      <c r="F6" s="2051"/>
      <c r="G6" s="2052"/>
      <c r="H6" s="26" t="s">
        <v>322</v>
      </c>
      <c r="I6" s="27"/>
      <c r="J6" s="27"/>
      <c r="K6" s="25"/>
      <c r="L6" s="765">
        <f>1+M6</f>
        <v>1</v>
      </c>
      <c r="M6" s="49">
        <v>0</v>
      </c>
      <c r="N6" s="648"/>
      <c r="O6" s="648"/>
      <c r="P6"/>
      <c r="Q6"/>
      <c r="R6"/>
      <c r="S6"/>
      <c r="T6"/>
      <c r="U6"/>
    </row>
    <row r="7" spans="1:21" ht="18" customHeight="1" x14ac:dyDescent="0.3">
      <c r="A7" s="764" t="s">
        <v>112</v>
      </c>
      <c r="B7" s="43"/>
      <c r="C7" s="43"/>
      <c r="D7" s="44">
        <v>2</v>
      </c>
      <c r="E7" s="2043" t="s">
        <v>295</v>
      </c>
      <c r="F7" s="2043"/>
      <c r="G7" s="2044"/>
      <c r="H7" s="26" t="s">
        <v>323</v>
      </c>
      <c r="I7" s="27"/>
      <c r="J7" s="27"/>
      <c r="K7" s="25"/>
      <c r="L7" s="765">
        <f>1+M7</f>
        <v>1</v>
      </c>
      <c r="M7" s="49">
        <v>0</v>
      </c>
      <c r="N7" s="648"/>
      <c r="O7" s="648"/>
      <c r="P7"/>
      <c r="Q7"/>
      <c r="R7"/>
      <c r="S7"/>
      <c r="T7"/>
      <c r="U7"/>
    </row>
    <row r="8" spans="1:21" ht="18" customHeight="1" x14ac:dyDescent="0.3">
      <c r="A8" s="1178" t="s">
        <v>106</v>
      </c>
      <c r="B8" s="45"/>
      <c r="C8" s="45"/>
      <c r="D8" s="44">
        <v>3</v>
      </c>
      <c r="E8" s="2043" t="s">
        <v>114</v>
      </c>
      <c r="F8" s="2043"/>
      <c r="G8" s="2044"/>
      <c r="H8" s="26" t="s">
        <v>324</v>
      </c>
      <c r="I8" s="27"/>
      <c r="J8" s="27"/>
      <c r="K8" s="25"/>
      <c r="L8" s="765">
        <f>1+M8</f>
        <v>1</v>
      </c>
      <c r="M8" s="49">
        <v>0</v>
      </c>
      <c r="N8" s="648"/>
      <c r="O8" s="648"/>
      <c r="P8"/>
      <c r="Q8"/>
      <c r="R8"/>
      <c r="S8"/>
      <c r="T8"/>
      <c r="U8"/>
    </row>
    <row r="9" spans="1:21" ht="18" customHeight="1" x14ac:dyDescent="0.3">
      <c r="A9" s="1178" t="s">
        <v>326</v>
      </c>
      <c r="B9" s="45"/>
      <c r="C9" s="45"/>
      <c r="D9" s="761">
        <v>80.040000000000006</v>
      </c>
      <c r="E9" s="2043" t="s">
        <v>327</v>
      </c>
      <c r="F9" s="2043"/>
      <c r="G9" s="2044"/>
      <c r="H9" s="26" t="s">
        <v>339</v>
      </c>
      <c r="I9" s="27"/>
      <c r="J9" s="27"/>
      <c r="K9" s="25"/>
      <c r="L9" s="765">
        <f>1+M9</f>
        <v>1</v>
      </c>
      <c r="M9" s="49">
        <v>0</v>
      </c>
      <c r="N9" s="648"/>
      <c r="O9" s="648"/>
      <c r="P9"/>
      <c r="Q9"/>
      <c r="R9"/>
      <c r="S9"/>
      <c r="T9"/>
      <c r="U9"/>
    </row>
    <row r="10" spans="1:21" ht="18" customHeight="1" x14ac:dyDescent="0.3">
      <c r="A10" s="1178" t="s">
        <v>328</v>
      </c>
      <c r="B10" s="45"/>
      <c r="C10" s="45"/>
      <c r="D10" s="46">
        <f>IF(200*360*D9&gt;20*D9*D8*360,20*D9*D8*360,200*360*D9)</f>
        <v>1728864.0000000002</v>
      </c>
      <c r="E10" s="2045">
        <f>80.04*360*200</f>
        <v>5762880</v>
      </c>
      <c r="F10" s="2045"/>
      <c r="G10" s="2046"/>
      <c r="H10" s="2030" t="s">
        <v>40</v>
      </c>
      <c r="I10" s="2031"/>
      <c r="J10" s="2031"/>
      <c r="K10" s="2031"/>
      <c r="L10" s="2031"/>
      <c r="M10" s="2032"/>
      <c r="N10" s="648"/>
      <c r="O10" s="648"/>
      <c r="P10"/>
      <c r="Q10"/>
      <c r="R10"/>
      <c r="S10"/>
      <c r="T10"/>
      <c r="U10"/>
    </row>
    <row r="11" spans="1:21" ht="18" customHeight="1" x14ac:dyDescent="0.3">
      <c r="A11" s="764" t="str">
        <f>IF(D11=0.025,"Porcentaje de Impuestos sobre ingresos","Porcentaje de Impuestos sobre utilidades")</f>
        <v>Porcentaje de Impuestos sobre utilidades</v>
      </c>
      <c r="B11" s="43"/>
      <c r="C11" s="43"/>
      <c r="D11" s="1185">
        <f>IF(D7=2, 30%, 0.025)</f>
        <v>0.3</v>
      </c>
      <c r="E11" s="2047" t="s">
        <v>558</v>
      </c>
      <c r="F11" s="2047"/>
      <c r="G11" s="2048"/>
      <c r="H11" s="2049" t="s">
        <v>346</v>
      </c>
      <c r="I11" s="2035" t="s">
        <v>290</v>
      </c>
      <c r="J11" s="2035" t="s">
        <v>644</v>
      </c>
      <c r="K11" s="2035" t="s">
        <v>646</v>
      </c>
      <c r="L11" s="2035" t="s">
        <v>645</v>
      </c>
      <c r="M11" s="2037" t="s">
        <v>291</v>
      </c>
      <c r="N11" s="648"/>
      <c r="O11" s="648"/>
      <c r="P11"/>
      <c r="Q11"/>
      <c r="R11"/>
      <c r="S11"/>
      <c r="T11"/>
      <c r="U11"/>
    </row>
    <row r="12" spans="1:21" ht="18" customHeight="1" x14ac:dyDescent="0.3">
      <c r="A12" s="764" t="s">
        <v>113</v>
      </c>
      <c r="B12" s="43"/>
      <c r="C12" s="43"/>
      <c r="D12" s="1185">
        <v>0.1</v>
      </c>
      <c r="E12" s="2043" t="s">
        <v>557</v>
      </c>
      <c r="F12" s="2043"/>
      <c r="G12" s="2044"/>
      <c r="H12" s="2050"/>
      <c r="I12" s="2036"/>
      <c r="J12" s="2036"/>
      <c r="K12" s="2036"/>
      <c r="L12" s="2036"/>
      <c r="M12" s="2038"/>
      <c r="N12" s="648"/>
      <c r="O12" s="648"/>
      <c r="P12"/>
      <c r="Q12"/>
      <c r="R12"/>
      <c r="S12"/>
      <c r="T12"/>
      <c r="U12"/>
    </row>
    <row r="13" spans="1:21" ht="18" customHeight="1" x14ac:dyDescent="0.3">
      <c r="A13" s="764" t="s">
        <v>180</v>
      </c>
      <c r="B13" s="43"/>
      <c r="C13" s="43"/>
      <c r="D13" s="762">
        <v>4.4999999999999998E-2</v>
      </c>
      <c r="E13" s="2056"/>
      <c r="F13" s="2056"/>
      <c r="G13" s="2057"/>
      <c r="H13" s="1122">
        <f>+'6 Estructura del Capital'!$B$13</f>
        <v>2699000</v>
      </c>
      <c r="I13" s="1122">
        <f>+'6 Estructura del Capital'!$B$33</f>
        <v>2044000</v>
      </c>
      <c r="J13" s="1122">
        <f>+D19+D14</f>
        <v>150000</v>
      </c>
      <c r="K13" s="1123">
        <f>J13/H13</f>
        <v>5.5576139310855872E-2</v>
      </c>
      <c r="L13" s="1123">
        <f>+J13/I13</f>
        <v>7.3385518590998039E-2</v>
      </c>
      <c r="M13" s="1122">
        <f>+'6 Estructura del Capital'!B42</f>
        <v>-505000</v>
      </c>
      <c r="N13" s="648"/>
      <c r="O13" s="648"/>
      <c r="P13"/>
      <c r="Q13"/>
      <c r="R13"/>
      <c r="S13"/>
      <c r="T13"/>
      <c r="U13"/>
    </row>
    <row r="14" spans="1:21" ht="18" customHeight="1" x14ac:dyDescent="0.2">
      <c r="A14" s="1041" t="s">
        <v>340</v>
      </c>
      <c r="B14" s="1039"/>
      <c r="C14" s="1039"/>
      <c r="D14" s="1040">
        <v>50000</v>
      </c>
      <c r="E14" s="1987" t="s">
        <v>528</v>
      </c>
      <c r="F14" s="1986" t="s">
        <v>537</v>
      </c>
      <c r="G14" s="1986"/>
      <c r="H14" s="1986" t="s">
        <v>538</v>
      </c>
      <c r="I14" s="1986"/>
      <c r="J14" s="1854" t="s">
        <v>292</v>
      </c>
      <c r="K14" s="1854"/>
      <c r="L14" s="1854"/>
      <c r="M14" s="1854"/>
      <c r="N14" s="648"/>
      <c r="O14" s="648"/>
      <c r="P14" s="648"/>
    </row>
    <row r="15" spans="1:21" ht="18" customHeight="1" x14ac:dyDescent="0.35">
      <c r="A15" s="1168" t="s">
        <v>341</v>
      </c>
      <c r="B15" s="1169"/>
      <c r="C15" s="1169"/>
      <c r="D15" s="50">
        <v>0.12</v>
      </c>
      <c r="E15" s="1988"/>
      <c r="F15" s="1117" t="s">
        <v>476</v>
      </c>
      <c r="G15" s="1118" t="s">
        <v>539</v>
      </c>
      <c r="H15" s="1118" t="s">
        <v>476</v>
      </c>
      <c r="I15" s="1118" t="s">
        <v>539</v>
      </c>
      <c r="J15" s="1990" t="s">
        <v>136</v>
      </c>
      <c r="K15" s="1990"/>
      <c r="L15" s="1116" t="s">
        <v>519</v>
      </c>
      <c r="M15" s="1116" t="s">
        <v>520</v>
      </c>
      <c r="N15" s="648"/>
      <c r="O15" s="648"/>
      <c r="P15" s="648"/>
    </row>
    <row r="16" spans="1:21" ht="18" customHeight="1" x14ac:dyDescent="0.2">
      <c r="A16" s="1170" t="s">
        <v>524</v>
      </c>
      <c r="B16" s="1171"/>
      <c r="C16" s="1172">
        <f>+D16+D18</f>
        <v>41</v>
      </c>
      <c r="D16" s="51">
        <v>36</v>
      </c>
      <c r="E16" s="1119" t="s">
        <v>529</v>
      </c>
      <c r="F16" s="1120">
        <f>+D56</f>
        <v>1.3314909671268946</v>
      </c>
      <c r="G16" s="1120">
        <f t="shared" ref="G16:I16" si="1">+E56</f>
        <v>1.2486360541731187</v>
      </c>
      <c r="H16" s="1120">
        <f t="shared" si="1"/>
        <v>1.4946829666446018</v>
      </c>
      <c r="I16" s="1120">
        <f t="shared" si="1"/>
        <v>1.4084113933390667</v>
      </c>
      <c r="J16" s="1989" t="s">
        <v>107</v>
      </c>
      <c r="K16" s="1989"/>
      <c r="L16" s="1113">
        <f>+'2 Porcientos sobre ventas'!$C$6</f>
        <v>11857230</v>
      </c>
      <c r="M16" s="1113">
        <f>+'2 Porcientos sobre ventas'!$D$6</f>
        <v>21322570.5</v>
      </c>
      <c r="N16" s="648"/>
      <c r="O16" s="648"/>
      <c r="P16" s="648"/>
    </row>
    <row r="17" spans="1:32" ht="18" customHeight="1" x14ac:dyDescent="0.2">
      <c r="A17" s="1173" t="s">
        <v>342</v>
      </c>
      <c r="B17" s="1174"/>
      <c r="C17" s="1174"/>
      <c r="D17" s="51">
        <v>3</v>
      </c>
      <c r="E17" s="1119" t="s">
        <v>530</v>
      </c>
      <c r="F17" s="1120">
        <f>+H56</f>
        <v>1.3732035958902458</v>
      </c>
      <c r="G17" s="1120">
        <f t="shared" ref="G17:I17" si="2">+I56</f>
        <v>1.2947033331938762</v>
      </c>
      <c r="H17" s="1120">
        <f t="shared" si="2"/>
        <v>1.5242141954126329</v>
      </c>
      <c r="I17" s="1120">
        <f t="shared" si="2"/>
        <v>1.4411585278481271</v>
      </c>
      <c r="J17" s="1989" t="s">
        <v>116</v>
      </c>
      <c r="K17" s="1989"/>
      <c r="L17" s="1113">
        <f>+'1 Indicadores'!$P$14</f>
        <v>1791357.5264605943</v>
      </c>
      <c r="M17" s="1115">
        <f>+'1 Indicadores'!$AC$14</f>
        <v>3949205.447220468</v>
      </c>
      <c r="N17" s="648"/>
      <c r="O17" s="648"/>
      <c r="P17" s="648"/>
    </row>
    <row r="18" spans="1:32" ht="18" customHeight="1" x14ac:dyDescent="0.2">
      <c r="A18" s="1173" t="s">
        <v>527</v>
      </c>
      <c r="B18" s="1174"/>
      <c r="C18" s="1174"/>
      <c r="D18" s="51">
        <v>5</v>
      </c>
      <c r="E18" s="1119" t="s">
        <v>531</v>
      </c>
      <c r="F18" s="1121">
        <f>+D67</f>
        <v>10494647.85649983</v>
      </c>
      <c r="G18" s="1121">
        <f t="shared" ref="G18:I18" si="3">+E67</f>
        <v>10344647.85649983</v>
      </c>
      <c r="H18" s="1121">
        <f t="shared" si="3"/>
        <v>12538827.691409238</v>
      </c>
      <c r="I18" s="1121">
        <f t="shared" si="3"/>
        <v>12388827.691409238</v>
      </c>
      <c r="J18" s="1989" t="s">
        <v>518</v>
      </c>
      <c r="K18" s="1989"/>
      <c r="L18" s="1114">
        <f>MIN('17 Hoja de Trabajo'!C21:O21)</f>
        <v>-807388</v>
      </c>
      <c r="M18" s="1114">
        <f>MIN('17 Hoja de Trabajo'!P21:AA21)</f>
        <v>-655079.20259932661</v>
      </c>
      <c r="N18" s="648"/>
      <c r="O18" s="648"/>
      <c r="P18" s="648"/>
    </row>
    <row r="19" spans="1:32" ht="18" customHeight="1" x14ac:dyDescent="0.3">
      <c r="A19" s="1041" t="s">
        <v>343</v>
      </c>
      <c r="B19" s="1039"/>
      <c r="C19" s="1039"/>
      <c r="D19" s="1040">
        <v>100000</v>
      </c>
      <c r="E19" s="1119" t="s">
        <v>532</v>
      </c>
      <c r="F19" s="1121">
        <f>+H67</f>
        <v>24204655.052601632</v>
      </c>
      <c r="G19" s="1121">
        <f t="shared" ref="G19:I19" si="4">+I67</f>
        <v>24054655.052601632</v>
      </c>
      <c r="H19" s="1121">
        <f t="shared" si="4"/>
        <v>26874021.360649183</v>
      </c>
      <c r="I19" s="1121">
        <f t="shared" si="4"/>
        <v>26724021.360649183</v>
      </c>
      <c r="J19" s="1984" t="s">
        <v>523</v>
      </c>
      <c r="K19" s="1985"/>
      <c r="L19" s="768">
        <f>+'2 Porcientos sobre ventas'!C7/100</f>
        <v>0.41082862523540492</v>
      </c>
      <c r="M19" s="768">
        <f>+'2 Porcientos sobre ventas'!D7/100</f>
        <v>0.41082862523540498</v>
      </c>
      <c r="N19" s="648"/>
      <c r="O19" s="648"/>
      <c r="P19" s="648"/>
      <c r="Z19"/>
      <c r="AA19"/>
      <c r="AB19"/>
      <c r="AC19"/>
      <c r="AD19"/>
      <c r="AE19"/>
      <c r="AF19"/>
    </row>
    <row r="20" spans="1:32" ht="18" customHeight="1" x14ac:dyDescent="0.2">
      <c r="A20" s="1168" t="s">
        <v>344</v>
      </c>
      <c r="B20" s="1169"/>
      <c r="C20" s="1169"/>
      <c r="D20" s="50">
        <v>0.12</v>
      </c>
      <c r="E20" s="1119" t="s">
        <v>540</v>
      </c>
      <c r="F20" s="1121">
        <f>+D195</f>
        <v>9.1905165921001437</v>
      </c>
      <c r="G20" s="1121">
        <f t="shared" ref="G20:I20" si="5">+E195</f>
        <v>9.8649674183305844</v>
      </c>
      <c r="H20" s="1121">
        <f t="shared" si="5"/>
        <v>12.050019181912818</v>
      </c>
      <c r="I20" s="1121">
        <f t="shared" si="5"/>
        <v>12.459063102341766</v>
      </c>
      <c r="J20" s="1984" t="s">
        <v>145</v>
      </c>
      <c r="K20" s="1985"/>
      <c r="L20" s="768">
        <f>('2 Porcientos sobre ventas'!C30+'2 Porcientos sobre ventas'!C31+'2 Porcientos sobre ventas'!C32)/100</f>
        <v>6.1565812588606279E-2</v>
      </c>
      <c r="M20" s="768">
        <f>('2 Porcientos sobre ventas'!D30+'2 Porcientos sobre ventas'!D31+'2 Porcientos sobre ventas'!D32)/100</f>
        <v>9.848718755555293E-3</v>
      </c>
      <c r="N20" s="648"/>
      <c r="O20" s="648"/>
      <c r="P20" s="648"/>
    </row>
    <row r="21" spans="1:32" ht="18" customHeight="1" x14ac:dyDescent="0.2">
      <c r="A21" s="1175" t="s">
        <v>525</v>
      </c>
      <c r="B21" s="1176"/>
      <c r="C21" s="1177">
        <f>+D21+D23</f>
        <v>63</v>
      </c>
      <c r="D21" s="52">
        <v>60</v>
      </c>
      <c r="E21" s="1119" t="s">
        <v>541</v>
      </c>
      <c r="F21" s="1121">
        <f>+D198</f>
        <v>10.569094080915164</v>
      </c>
      <c r="G21" s="1121">
        <f t="shared" ref="G21:I21" si="6">+E198</f>
        <v>11.344712531080171</v>
      </c>
      <c r="H21" s="1121">
        <f t="shared" si="6"/>
        <v>13.019020698560025</v>
      </c>
      <c r="I21" s="1121">
        <f t="shared" si="6"/>
        <v>13.559981283327309</v>
      </c>
      <c r="J21" s="1983" t="s">
        <v>293</v>
      </c>
      <c r="K21" s="1983"/>
      <c r="L21" s="649">
        <f>+'2 Porcientos sobre ventas'!$C$16/100</f>
        <v>0.49685208940030684</v>
      </c>
      <c r="M21" s="649">
        <f>+'2 Porcientos sobre ventas'!$C$16/100</f>
        <v>0.49685208940030684</v>
      </c>
      <c r="N21" s="648"/>
      <c r="O21" s="648"/>
      <c r="P21" s="648"/>
    </row>
    <row r="22" spans="1:32" ht="18" customHeight="1" x14ac:dyDescent="0.2">
      <c r="A22" s="1173" t="s">
        <v>345</v>
      </c>
      <c r="B22" s="1174"/>
      <c r="C22" s="1174"/>
      <c r="D22" s="51">
        <v>6</v>
      </c>
      <c r="E22" s="1119" t="s">
        <v>500</v>
      </c>
      <c r="F22" s="1120">
        <f>+D204</f>
        <v>1.9717116998376347</v>
      </c>
      <c r="G22" s="1120">
        <f t="shared" ref="G22:I22" si="7">+E204</f>
        <v>1.8369091679435394</v>
      </c>
      <c r="H22" s="1120">
        <f t="shared" si="7"/>
        <v>2.2603122443501311</v>
      </c>
      <c r="I22" s="1120">
        <f t="shared" si="7"/>
        <v>2.1057785904519908</v>
      </c>
      <c r="J22" s="1983" t="s">
        <v>521</v>
      </c>
      <c r="K22" s="1983"/>
      <c r="L22" s="649">
        <f>+'2 Porcientos sobre ventas'!$C$15/100</f>
        <v>8.6023464164901919E-2</v>
      </c>
      <c r="M22" s="649">
        <f>+'2 Porcientos sobre ventas'!$C$15/100</f>
        <v>8.6023464164901919E-2</v>
      </c>
      <c r="N22" s="648"/>
      <c r="O22" s="648"/>
      <c r="P22" s="648"/>
    </row>
    <row r="23" spans="1:32" ht="18" customHeight="1" x14ac:dyDescent="0.2">
      <c r="A23" s="1173" t="s">
        <v>526</v>
      </c>
      <c r="B23" s="1174"/>
      <c r="C23" s="1174"/>
      <c r="D23" s="51">
        <v>3</v>
      </c>
      <c r="E23" s="1119" t="s">
        <v>648</v>
      </c>
      <c r="F23" s="1121">
        <f>+D241</f>
        <v>97921329.488194004</v>
      </c>
      <c r="G23" s="1121">
        <f t="shared" ref="G23:I23" si="8">+E241</f>
        <v>97314495.827837825</v>
      </c>
      <c r="H23" s="1121">
        <f t="shared" si="8"/>
        <v>108720405.00515385</v>
      </c>
      <c r="I23" s="1121">
        <f t="shared" si="8"/>
        <v>108113571.34479766</v>
      </c>
      <c r="J23" s="1983" t="s">
        <v>522</v>
      </c>
      <c r="K23" s="1983"/>
      <c r="L23" s="649">
        <f>+'2 Porcientos sobre ventas'!$C$18/100</f>
        <v>0.17848495390576044</v>
      </c>
      <c r="M23" s="649">
        <f>+'2 Porcientos sobre ventas'!$C$18/100</f>
        <v>0.17848495390576044</v>
      </c>
      <c r="N23" s="648"/>
      <c r="O23" s="648"/>
      <c r="P23" s="648"/>
    </row>
    <row r="24" spans="1:32" ht="18" customHeight="1" x14ac:dyDescent="0.2">
      <c r="A24" s="1041" t="s">
        <v>325</v>
      </c>
      <c r="B24" s="1039"/>
      <c r="C24" s="1039"/>
      <c r="D24" s="1040">
        <v>150000</v>
      </c>
      <c r="E24" s="1119" t="s">
        <v>533</v>
      </c>
      <c r="F24" s="1120">
        <f>+D257</f>
        <v>0.29081087727349608</v>
      </c>
      <c r="G24" s="1120">
        <f t="shared" ref="G24:I24" si="9">+E257</f>
        <v>0.28170194462801446</v>
      </c>
      <c r="H24" s="1120">
        <f t="shared" si="9"/>
        <v>0.30337314447114982</v>
      </c>
      <c r="I24" s="1120">
        <f t="shared" si="9"/>
        <v>0.29417556301754888</v>
      </c>
      <c r="J24" s="1983" t="s">
        <v>347</v>
      </c>
      <c r="K24" s="1983"/>
      <c r="L24" s="768">
        <f>+'10 Gastos  Admon y Ventas'!Q39/'2 Porcientos sobre ventas'!C6</f>
        <v>0.1161316766226176</v>
      </c>
      <c r="M24" s="768">
        <f>+'10 Gastos  Admon y Ventas'!R39/'2 Porcientos sobre ventas'!D6</f>
        <v>6.9745812307198144E-3</v>
      </c>
      <c r="N24" s="648"/>
      <c r="O24" s="648"/>
      <c r="P24" s="648"/>
    </row>
    <row r="25" spans="1:32" ht="18" customHeight="1" x14ac:dyDescent="0.2">
      <c r="A25" s="1160" t="s">
        <v>452</v>
      </c>
      <c r="B25" s="1112"/>
      <c r="C25" s="1161">
        <v>5</v>
      </c>
      <c r="D25" s="1162">
        <f>+C25*12</f>
        <v>60</v>
      </c>
      <c r="E25" s="1119" t="s">
        <v>534</v>
      </c>
      <c r="F25" s="1120">
        <f>+C276</f>
        <v>0.15</v>
      </c>
      <c r="G25" s="1120">
        <f t="shared" ref="G25:I25" si="10">+D276</f>
        <v>0.48443250886452027</v>
      </c>
      <c r="H25" s="1120">
        <f t="shared" si="10"/>
        <v>0.47395723632221665</v>
      </c>
      <c r="I25" s="1120">
        <f t="shared" si="10"/>
        <v>0.49887911614182223</v>
      </c>
      <c r="J25" s="1983" t="s">
        <v>294</v>
      </c>
      <c r="K25" s="1983"/>
      <c r="L25" s="649">
        <f>+'2 Porcientos sobre ventas'!C19/100</f>
        <v>1.0418567703869585E-3</v>
      </c>
      <c r="M25" s="649">
        <f>+'2 Porcientos sobre ventas'!D19/100</f>
        <v>6.7458275651326302E-4</v>
      </c>
      <c r="N25" s="648"/>
      <c r="O25" s="648"/>
      <c r="P25" s="648"/>
    </row>
    <row r="26" spans="1:32" ht="18" customHeight="1" x14ac:dyDescent="0.2">
      <c r="A26" s="1164" t="s">
        <v>552</v>
      </c>
      <c r="B26" s="1112"/>
      <c r="C26" s="1163">
        <v>6</v>
      </c>
      <c r="D26" s="1403">
        <f>+'4 Estado de Resultados'!D46</f>
        <v>7.3385518590998039E-2</v>
      </c>
      <c r="E26" s="1119" t="s">
        <v>542</v>
      </c>
      <c r="F26" s="1120">
        <f>+D285</f>
        <v>6.1343678358609735</v>
      </c>
      <c r="G26" s="1120">
        <f t="shared" ref="G26:I26" si="11">+E285</f>
        <v>5.7149716757063951</v>
      </c>
      <c r="H26" s="1120">
        <f t="shared" si="11"/>
        <v>7.1344558177148913</v>
      </c>
      <c r="I26" s="1120">
        <f t="shared" si="11"/>
        <v>6.6466853652731253</v>
      </c>
      <c r="J26" s="1983" t="s">
        <v>22</v>
      </c>
      <c r="K26" s="1983"/>
      <c r="L26" s="649">
        <f>+'2 Porcientos sobre ventas'!C24/100</f>
        <v>0.15107723527844144</v>
      </c>
      <c r="M26" s="649">
        <f>+'2 Porcientos sobre ventas'!D24/100</f>
        <v>0.18521244646467308</v>
      </c>
      <c r="N26" s="15"/>
      <c r="O26" s="648"/>
      <c r="P26" s="648"/>
    </row>
    <row r="27" spans="1:32" ht="18" customHeight="1" x14ac:dyDescent="0.3">
      <c r="A27"/>
      <c r="B27"/>
      <c r="C27"/>
      <c r="D27"/>
      <c r="E27"/>
      <c r="F27"/>
      <c r="G27"/>
      <c r="H27"/>
      <c r="I27"/>
      <c r="J27"/>
      <c r="K27"/>
      <c r="L27"/>
      <c r="M27"/>
      <c r="N27" s="15"/>
      <c r="O27" s="648"/>
      <c r="P27" s="648"/>
      <c r="Q27" s="648"/>
      <c r="R27" s="648"/>
      <c r="S27" s="648"/>
      <c r="T27" s="5"/>
      <c r="U27" s="5"/>
      <c r="V27" s="5"/>
    </row>
    <row r="28" spans="1:32" ht="18" customHeight="1" x14ac:dyDescent="0.3">
      <c r="A28" s="2020" t="s">
        <v>351</v>
      </c>
      <c r="B28" s="2020"/>
      <c r="C28" s="2020"/>
      <c r="D28" s="2020"/>
      <c r="E28" s="2020"/>
      <c r="F28" s="2020"/>
      <c r="G28" s="2020"/>
      <c r="H28" s="2020"/>
      <c r="I28" s="2020"/>
      <c r="J28" s="2020"/>
      <c r="K28" s="2020"/>
      <c r="L28" s="2020"/>
      <c r="M28" s="2020"/>
      <c r="N28" s="15"/>
      <c r="O28" s="648"/>
      <c r="P28" s="648"/>
      <c r="Q28"/>
      <c r="R28"/>
      <c r="S28"/>
      <c r="T28"/>
      <c r="U28"/>
      <c r="V28"/>
    </row>
    <row r="29" spans="1:32" ht="18" customHeight="1" x14ac:dyDescent="0.3">
      <c r="A29" s="2023" t="s">
        <v>377</v>
      </c>
      <c r="B29" s="2024"/>
      <c r="C29" s="2024"/>
      <c r="D29" s="2025"/>
      <c r="E29" s="1044" t="str">
        <f>CONCATENATE('17 Hoja de Trabajo'!B5," - ",'17 Hoja de Trabajo'!C5)</f>
        <v>2017 - 2018</v>
      </c>
      <c r="F29" s="1044" t="str">
        <f>CONCATENATE('17 Hoja de Trabajo'!C5," - ",'17 Hoja de Trabajo'!D5)</f>
        <v>2018 - 2019</v>
      </c>
      <c r="G29" s="1044" t="str">
        <f>CONCATENATE('17 Hoja de Trabajo'!D5," - ",'17 Hoja de Trabajo'!E5)</f>
        <v>2019 - 2020</v>
      </c>
      <c r="H29" s="1044" t="str">
        <f>CONCATENATE('17 Hoja de Trabajo'!E5," - ",'17 Hoja de Trabajo'!F5)</f>
        <v>2020 - 2021</v>
      </c>
      <c r="I29" s="1044" t="str">
        <f>CONCATENATE('17 Hoja de Trabajo'!F5," - ",'17 Hoja de Trabajo'!G5)</f>
        <v>2021 - 2022</v>
      </c>
      <c r="J29" s="1044" t="str">
        <f>CONCATENATE('17 Hoja de Trabajo'!G5," - ",'17 Hoja de Trabajo'!H5)</f>
        <v>2022 - 2023</v>
      </c>
      <c r="K29" s="1044" t="str">
        <f>CONCATENATE('17 Hoja de Trabajo'!H5," - ",'17 Hoja de Trabajo'!I5)</f>
        <v>2023 - 2024</v>
      </c>
      <c r="L29" s="1044" t="str">
        <f>CONCATENATE('17 Hoja de Trabajo'!I5," - ",'17 Hoja de Trabajo'!J5)</f>
        <v>2024 - 2025</v>
      </c>
      <c r="M29" s="1044" t="str">
        <f>CONCATENATE('17 Hoja de Trabajo'!J5," - ",'17 Hoja de Trabajo'!K5)</f>
        <v>2025 - 2026</v>
      </c>
      <c r="N29" s="15"/>
      <c r="O29" s="648"/>
      <c r="P29" s="648"/>
      <c r="Q29"/>
      <c r="R29"/>
      <c r="S29"/>
      <c r="T29"/>
      <c r="U29"/>
      <c r="V29"/>
    </row>
    <row r="30" spans="1:32" ht="18" customHeight="1" x14ac:dyDescent="0.3">
      <c r="A30" s="2026" t="s">
        <v>107</v>
      </c>
      <c r="B30" s="2026"/>
      <c r="C30" s="2026"/>
      <c r="D30" s="2026"/>
      <c r="E30" s="1046">
        <v>0.1</v>
      </c>
      <c r="F30" s="1046">
        <v>0.1</v>
      </c>
      <c r="G30" s="1046">
        <v>0.1</v>
      </c>
      <c r="H30" s="1046">
        <v>0.1</v>
      </c>
      <c r="I30" s="1046">
        <v>0.08</v>
      </c>
      <c r="J30" s="1046">
        <v>7.0000000000000007E-2</v>
      </c>
      <c r="K30" s="1046">
        <v>0.06</v>
      </c>
      <c r="L30" s="1046">
        <v>0.05</v>
      </c>
      <c r="M30" s="1046">
        <v>0.04</v>
      </c>
      <c r="N30" s="15"/>
      <c r="O30" s="648"/>
      <c r="P30" s="648"/>
      <c r="Q30"/>
      <c r="R30"/>
      <c r="S30"/>
      <c r="T30"/>
      <c r="U30"/>
      <c r="V30"/>
    </row>
    <row r="31" spans="1:32" ht="18" customHeight="1" x14ac:dyDescent="0.3">
      <c r="A31" s="2026" t="s">
        <v>350</v>
      </c>
      <c r="B31" s="2026"/>
      <c r="C31" s="2026"/>
      <c r="D31" s="2026"/>
      <c r="E31" s="981">
        <f>E30/5*4</f>
        <v>0.08</v>
      </c>
      <c r="F31" s="981">
        <f t="shared" ref="F31:M31" si="12">F30/5*4</f>
        <v>0.08</v>
      </c>
      <c r="G31" s="981">
        <f t="shared" si="12"/>
        <v>0.08</v>
      </c>
      <c r="H31" s="981">
        <f t="shared" si="12"/>
        <v>0.08</v>
      </c>
      <c r="I31" s="981">
        <f t="shared" si="12"/>
        <v>6.4000000000000001E-2</v>
      </c>
      <c r="J31" s="981">
        <f t="shared" si="12"/>
        <v>5.6000000000000008E-2</v>
      </c>
      <c r="K31" s="981">
        <f t="shared" si="12"/>
        <v>4.8000000000000001E-2</v>
      </c>
      <c r="L31" s="981">
        <f t="shared" si="12"/>
        <v>0.04</v>
      </c>
      <c r="M31" s="981">
        <f t="shared" si="12"/>
        <v>3.2000000000000001E-2</v>
      </c>
      <c r="N31" s="15"/>
      <c r="O31" s="648"/>
      <c r="P31" s="648"/>
      <c r="Q31"/>
      <c r="R31"/>
      <c r="S31"/>
      <c r="T31"/>
      <c r="U31"/>
      <c r="V31"/>
    </row>
    <row r="32" spans="1:32" ht="18" customHeight="1" x14ac:dyDescent="0.3">
      <c r="A32" s="2026" t="s">
        <v>463</v>
      </c>
      <c r="B32" s="2026"/>
      <c r="C32" s="2026"/>
      <c r="D32" s="2026"/>
      <c r="E32" s="981">
        <f>+E30</f>
        <v>0.1</v>
      </c>
      <c r="F32" s="981">
        <f t="shared" ref="F32:M32" si="13">+F30</f>
        <v>0.1</v>
      </c>
      <c r="G32" s="981">
        <f t="shared" si="13"/>
        <v>0.1</v>
      </c>
      <c r="H32" s="981">
        <f t="shared" si="13"/>
        <v>0.1</v>
      </c>
      <c r="I32" s="981">
        <f t="shared" si="13"/>
        <v>0.08</v>
      </c>
      <c r="J32" s="981">
        <f t="shared" si="13"/>
        <v>7.0000000000000007E-2</v>
      </c>
      <c r="K32" s="981">
        <f t="shared" si="13"/>
        <v>0.06</v>
      </c>
      <c r="L32" s="981">
        <f t="shared" si="13"/>
        <v>0.05</v>
      </c>
      <c r="M32" s="981">
        <f t="shared" si="13"/>
        <v>0.04</v>
      </c>
      <c r="N32" s="15"/>
      <c r="O32" s="648"/>
      <c r="P32" s="648"/>
      <c r="Q32"/>
      <c r="R32"/>
      <c r="S32"/>
      <c r="T32"/>
      <c r="U32"/>
      <c r="V32"/>
    </row>
    <row r="33" spans="1:37" ht="18" customHeight="1" x14ac:dyDescent="0.2">
      <c r="A33" s="2026" t="s">
        <v>466</v>
      </c>
      <c r="B33" s="2026"/>
      <c r="C33" s="2026"/>
      <c r="D33" s="2026"/>
      <c r="E33" s="981">
        <f>E30/5*3</f>
        <v>0.06</v>
      </c>
      <c r="F33" s="981">
        <f t="shared" ref="F33:M33" si="14">F30/5*3</f>
        <v>0.06</v>
      </c>
      <c r="G33" s="981">
        <f t="shared" si="14"/>
        <v>0.06</v>
      </c>
      <c r="H33" s="981">
        <f t="shared" si="14"/>
        <v>0.06</v>
      </c>
      <c r="I33" s="981">
        <f t="shared" si="14"/>
        <v>4.8000000000000001E-2</v>
      </c>
      <c r="J33" s="981">
        <f t="shared" si="14"/>
        <v>4.200000000000001E-2</v>
      </c>
      <c r="K33" s="981">
        <f t="shared" si="14"/>
        <v>3.6000000000000004E-2</v>
      </c>
      <c r="L33" s="981">
        <f t="shared" si="14"/>
        <v>0.03</v>
      </c>
      <c r="M33" s="981">
        <f t="shared" si="14"/>
        <v>2.4E-2</v>
      </c>
      <c r="N33" s="648"/>
      <c r="O33" s="648"/>
      <c r="P33" s="648"/>
      <c r="Q33" s="648"/>
      <c r="R33" s="648"/>
    </row>
    <row r="34" spans="1:37" ht="15" customHeight="1" x14ac:dyDescent="0.3">
      <c r="A34"/>
      <c r="B34"/>
      <c r="C34"/>
      <c r="D34"/>
      <c r="E34" s="1045"/>
      <c r="F34" s="1045"/>
      <c r="G34" s="1045"/>
      <c r="H34" s="1045"/>
      <c r="I34" s="1045"/>
      <c r="J34" s="1045"/>
      <c r="K34" s="1045"/>
      <c r="L34" s="1045"/>
      <c r="M34" s="1045"/>
      <c r="N34" s="648"/>
      <c r="O34" s="648"/>
      <c r="P34" s="648"/>
      <c r="Q34" s="648"/>
      <c r="R34" s="648"/>
    </row>
    <row r="35" spans="1:37" ht="23.25" customHeight="1" x14ac:dyDescent="0.2">
      <c r="A35" s="1994" t="s">
        <v>502</v>
      </c>
      <c r="B35" s="1994"/>
      <c r="C35" s="1994"/>
      <c r="D35" s="1994"/>
      <c r="E35" s="1994"/>
      <c r="F35" s="1994"/>
      <c r="G35" s="1994"/>
      <c r="H35" s="1994"/>
      <c r="I35" s="1994"/>
      <c r="J35" s="1994"/>
      <c r="K35" s="1994"/>
      <c r="L35" s="1994"/>
      <c r="M35" s="1994"/>
      <c r="N35" s="1994"/>
      <c r="O35" s="648"/>
      <c r="P35" s="648"/>
      <c r="Q35" s="648"/>
      <c r="R35" s="648"/>
      <c r="AB35" s="1404">
        <f>+D42</f>
        <v>-2044000</v>
      </c>
      <c r="AC35" s="1404">
        <f t="shared" ref="AC35:AI35" si="15">+E42</f>
        <v>2668838.0086363629</v>
      </c>
      <c r="AD35" s="1404">
        <f t="shared" si="15"/>
        <v>1360563.4126853421</v>
      </c>
      <c r="AE35" s="1404">
        <f t="shared" si="15"/>
        <v>4851048.7661353685</v>
      </c>
      <c r="AF35" s="1404">
        <f t="shared" si="15"/>
        <v>5311219.1466296464</v>
      </c>
      <c r="AG35" s="1404">
        <f t="shared" si="15"/>
        <v>5959224.2382539064</v>
      </c>
      <c r="AH35" s="1404">
        <f t="shared" si="15"/>
        <v>6633928.4408685863</v>
      </c>
      <c r="AI35" s="1404">
        <f t="shared" si="15"/>
        <v>7002772.3462037258</v>
      </c>
      <c r="AJ35" s="1404">
        <f>+L42</f>
        <v>8771898.9691555277</v>
      </c>
      <c r="AK35" s="1404">
        <f t="shared" ref="AK35" si="16">+M42</f>
        <v>9902684.5697118267</v>
      </c>
    </row>
    <row r="36" spans="1:37" ht="15" customHeight="1" x14ac:dyDescent="0.2">
      <c r="A36" s="2003" t="s">
        <v>377</v>
      </c>
      <c r="B36" s="2004"/>
      <c r="C36" s="1067"/>
      <c r="D36" s="1411" t="s">
        <v>161</v>
      </c>
      <c r="E36" s="1411">
        <v>1</v>
      </c>
      <c r="F36" s="1411">
        <v>2</v>
      </c>
      <c r="G36" s="1411">
        <v>3</v>
      </c>
      <c r="H36" s="1411">
        <v>4</v>
      </c>
      <c r="I36" s="1411">
        <v>5</v>
      </c>
      <c r="J36" s="1411">
        <v>6</v>
      </c>
      <c r="K36" s="1411">
        <v>7</v>
      </c>
      <c r="L36" s="1411">
        <v>8</v>
      </c>
      <c r="M36" s="1412">
        <v>9</v>
      </c>
      <c r="N36" s="1412">
        <v>10</v>
      </c>
      <c r="O36" s="648"/>
      <c r="P36" s="648"/>
      <c r="Q36" s="648"/>
      <c r="R36" s="648"/>
    </row>
    <row r="37" spans="1:37" ht="16.5" x14ac:dyDescent="0.2">
      <c r="A37" s="1479"/>
      <c r="B37" s="1480"/>
      <c r="C37" s="1034"/>
      <c r="D37" s="1411">
        <f>+'17 Hoja de Trabajo'!$D$2</f>
        <v>2017</v>
      </c>
      <c r="E37" s="1411">
        <f>+D37</f>
        <v>2017</v>
      </c>
      <c r="F37" s="1411">
        <f>+E37+1</f>
        <v>2018</v>
      </c>
      <c r="G37" s="1411">
        <f t="shared" ref="G37:N37" si="17">+F37+1</f>
        <v>2019</v>
      </c>
      <c r="H37" s="1411">
        <f t="shared" si="17"/>
        <v>2020</v>
      </c>
      <c r="I37" s="1411">
        <f t="shared" si="17"/>
        <v>2021</v>
      </c>
      <c r="J37" s="1411">
        <f t="shared" si="17"/>
        <v>2022</v>
      </c>
      <c r="K37" s="1411">
        <f t="shared" si="17"/>
        <v>2023</v>
      </c>
      <c r="L37" s="1411">
        <f t="shared" si="17"/>
        <v>2024</v>
      </c>
      <c r="M37" s="1411">
        <f t="shared" si="17"/>
        <v>2025</v>
      </c>
      <c r="N37" s="1411">
        <f t="shared" si="17"/>
        <v>2026</v>
      </c>
      <c r="P37" s="648"/>
      <c r="Q37" s="648"/>
      <c r="R37" s="648"/>
    </row>
    <row r="38" spans="1:37" ht="17.25" customHeight="1" x14ac:dyDescent="0.2">
      <c r="A38" s="1086" t="s">
        <v>233</v>
      </c>
      <c r="B38" s="1038"/>
      <c r="C38" s="1038"/>
      <c r="D38" s="1087">
        <f>+'3 Balance'!C37</f>
        <v>1894000</v>
      </c>
      <c r="E38" s="1087">
        <f>+'3 Balance'!AD37</f>
        <v>4563538.0086363629</v>
      </c>
      <c r="F38" s="1087">
        <f>+'3 Balance'!AE37</f>
        <v>9182801.421321705</v>
      </c>
      <c r="G38" s="1087">
        <f>+'3 Balance'!AF37</f>
        <v>13745750.187457073</v>
      </c>
      <c r="H38" s="1087">
        <f>+'3 Balance'!AG37</f>
        <v>18860869.33408672</v>
      </c>
      <c r="I38" s="1087">
        <f>+'3 Balance'!AH37</f>
        <v>24585993.572340626</v>
      </c>
      <c r="J38" s="1087">
        <f>+'3 Balance'!AI37</f>
        <v>30862822.013209213</v>
      </c>
      <c r="K38" s="1087">
        <f>+'3 Balance'!AJ37</f>
        <v>37840494.359412938</v>
      </c>
      <c r="L38" s="1087">
        <f>+'3 Balance'!AK37</f>
        <v>46424093.328568466</v>
      </c>
      <c r="M38" s="1087">
        <f>+'3 Balance'!AL37</f>
        <v>55878677.898280293</v>
      </c>
      <c r="N38" s="1087">
        <f>+'3 Balance'!AM37</f>
        <v>66190156.228039727</v>
      </c>
      <c r="P38" s="648"/>
      <c r="Q38" s="648"/>
      <c r="R38" s="648"/>
    </row>
    <row r="39" spans="1:37" ht="17.25" customHeight="1" x14ac:dyDescent="0.2">
      <c r="A39" s="2054" t="s">
        <v>166</v>
      </c>
      <c r="B39" s="2055"/>
      <c r="C39" s="1068"/>
      <c r="D39" s="34">
        <f>+'3 Balance'!C61</f>
        <v>1894000</v>
      </c>
      <c r="E39" s="34">
        <f>+'3 Balance'!AD61</f>
        <v>4563538.0086363638</v>
      </c>
      <c r="F39" s="34">
        <f>+'3 Balance'!AE61</f>
        <v>9182801.421321705</v>
      </c>
      <c r="G39" s="34">
        <f>+'3 Balance'!AF61</f>
        <v>13745750.187457075</v>
      </c>
      <c r="H39" s="1088">
        <f>+'3 Balance'!AG61</f>
        <v>18860869.33408672</v>
      </c>
      <c r="I39" s="34">
        <f>+'3 Balance'!AH61</f>
        <v>24585993.57234063</v>
      </c>
      <c r="J39" s="34">
        <f>+'3 Balance'!AI61</f>
        <v>30862822.013209216</v>
      </c>
      <c r="K39" s="34">
        <f>+'3 Balance'!AJ61</f>
        <v>37840494.359412938</v>
      </c>
      <c r="L39" s="34">
        <f>+'3 Balance'!AK61</f>
        <v>46424093.328568459</v>
      </c>
      <c r="M39" s="34">
        <f>+'3 Balance'!AL61</f>
        <v>55878677.898280293</v>
      </c>
      <c r="N39" s="34">
        <f>+'3 Balance'!AM61</f>
        <v>66190156.228039719</v>
      </c>
      <c r="P39" s="648"/>
      <c r="Q39" s="648"/>
      <c r="R39" s="648"/>
    </row>
    <row r="40" spans="1:37" ht="17.25" customHeight="1" x14ac:dyDescent="0.2">
      <c r="A40" s="2054" t="s">
        <v>167</v>
      </c>
      <c r="B40" s="2055"/>
      <c r="C40" s="1068"/>
      <c r="D40" s="47">
        <f>+D38-D39</f>
        <v>0</v>
      </c>
      <c r="E40" s="47">
        <f t="shared" ref="E40:N40" si="18">+E38-E39</f>
        <v>0</v>
      </c>
      <c r="F40" s="47">
        <f t="shared" si="18"/>
        <v>0</v>
      </c>
      <c r="G40" s="47">
        <f t="shared" si="18"/>
        <v>0</v>
      </c>
      <c r="H40" s="47">
        <f t="shared" si="18"/>
        <v>0</v>
      </c>
      <c r="I40" s="47">
        <f t="shared" si="18"/>
        <v>0</v>
      </c>
      <c r="J40" s="47">
        <f t="shared" si="18"/>
        <v>0</v>
      </c>
      <c r="K40" s="47">
        <f t="shared" si="18"/>
        <v>0</v>
      </c>
      <c r="L40" s="47">
        <f t="shared" si="18"/>
        <v>0</v>
      </c>
      <c r="M40" s="47">
        <f t="shared" si="18"/>
        <v>0</v>
      </c>
      <c r="N40" s="47">
        <f t="shared" si="18"/>
        <v>0</v>
      </c>
      <c r="P40" s="648"/>
      <c r="Q40" s="648"/>
      <c r="R40" s="648"/>
    </row>
    <row r="41" spans="1:37" ht="17.25" customHeight="1" x14ac:dyDescent="0.2">
      <c r="P41" s="648"/>
      <c r="Q41" s="648"/>
      <c r="R41" s="648"/>
    </row>
    <row r="42" spans="1:37" ht="17.25" customHeight="1" x14ac:dyDescent="0.3">
      <c r="A42" s="2021" t="s">
        <v>469</v>
      </c>
      <c r="B42" s="2022"/>
      <c r="C42" s="917"/>
      <c r="D42" s="692">
        <f>-'6 Estructura del Capital'!B33</f>
        <v>-2044000</v>
      </c>
      <c r="E42" s="692">
        <f>+'5 Estado de Fuentes y Usos'!AC54</f>
        <v>2668838.0086363629</v>
      </c>
      <c r="F42" s="692">
        <f>+'5 Estado de Fuentes y Usos'!AD54-'5 Estado de Fuentes y Usos'!AC54</f>
        <v>1360563.4126853421</v>
      </c>
      <c r="G42" s="692">
        <f>+'5 Estado de Fuentes y Usos'!AE54-'5 Estado de Fuentes y Usos'!AD54</f>
        <v>4851048.7661353685</v>
      </c>
      <c r="H42" s="692">
        <f>+'5 Estado de Fuentes y Usos'!AF54-'5 Estado de Fuentes y Usos'!AE54</f>
        <v>5311219.1466296464</v>
      </c>
      <c r="I42" s="692">
        <f>+'5 Estado de Fuentes y Usos'!AG54-'5 Estado de Fuentes y Usos'!AF54</f>
        <v>5959224.2382539064</v>
      </c>
      <c r="J42" s="692">
        <f>+'5 Estado de Fuentes y Usos'!AH54-'5 Estado de Fuentes y Usos'!AG54</f>
        <v>6633928.4408685863</v>
      </c>
      <c r="K42" s="692">
        <f>+'5 Estado de Fuentes y Usos'!AI54-'5 Estado de Fuentes y Usos'!AH54</f>
        <v>7002772.3462037258</v>
      </c>
      <c r="L42" s="692">
        <f>+'5 Estado de Fuentes y Usos'!AJ54-'5 Estado de Fuentes y Usos'!AI54</f>
        <v>8771898.9691555277</v>
      </c>
      <c r="M42" s="692">
        <f>+'5 Estado de Fuentes y Usos'!AK54-'5 Estado de Fuentes y Usos'!AJ54</f>
        <v>9902684.5697118267</v>
      </c>
      <c r="N42" s="692">
        <f>+'5 Estado de Fuentes y Usos'!AL54-'5 Estado de Fuentes y Usos'!AK54</f>
        <v>10222578.329759434</v>
      </c>
      <c r="Q42" s="648"/>
      <c r="R42" s="648"/>
      <c r="AA42" s="1097">
        <f>SUM(D42:I42)</f>
        <v>18106893.572340626</v>
      </c>
      <c r="AB42" s="1098">
        <f>SUM(E42:N42)</f>
        <v>62684756.228039727</v>
      </c>
      <c r="AC42" s="1094">
        <f>+AA42-D42</f>
        <v>20150893.572340626</v>
      </c>
      <c r="AD42" s="1094">
        <f>-D42</f>
        <v>2044000</v>
      </c>
      <c r="AE42" s="1110">
        <f>+AC42/AD42</f>
        <v>9.8585584991881738</v>
      </c>
      <c r="AF42" s="1111">
        <f>+AB42-D42</f>
        <v>64728756.228039727</v>
      </c>
      <c r="AG42" s="1110">
        <f>AF42/AD42</f>
        <v>31.667688956966597</v>
      </c>
    </row>
    <row r="43" spans="1:37" ht="17.25" customHeight="1" x14ac:dyDescent="0.3">
      <c r="A43" s="2021" t="s">
        <v>472</v>
      </c>
      <c r="B43" s="2022"/>
      <c r="C43" s="917"/>
      <c r="D43" s="692">
        <f>+D42</f>
        <v>-2044000</v>
      </c>
      <c r="E43" s="692">
        <f t="shared" ref="E43:N43" si="19">+E42+D43</f>
        <v>624838.00863636285</v>
      </c>
      <c r="F43" s="692">
        <f t="shared" si="19"/>
        <v>1985401.421321705</v>
      </c>
      <c r="G43" s="692">
        <f t="shared" si="19"/>
        <v>6836450.1874570735</v>
      </c>
      <c r="H43" s="692">
        <f t="shared" si="19"/>
        <v>12147669.33408672</v>
      </c>
      <c r="I43" s="692">
        <f t="shared" si="19"/>
        <v>18106893.572340626</v>
      </c>
      <c r="J43" s="692">
        <f t="shared" si="19"/>
        <v>24740822.013209213</v>
      </c>
      <c r="K43" s="692">
        <f t="shared" si="19"/>
        <v>31743594.359412938</v>
      </c>
      <c r="L43" s="692">
        <f t="shared" si="19"/>
        <v>40515493.328568466</v>
      </c>
      <c r="M43" s="692">
        <f t="shared" si="19"/>
        <v>50418177.898280293</v>
      </c>
      <c r="N43" s="692">
        <f t="shared" si="19"/>
        <v>60640756.228039727</v>
      </c>
      <c r="Q43" s="648"/>
      <c r="R43" s="648"/>
      <c r="AA43" s="1099"/>
      <c r="AB43" s="653"/>
    </row>
    <row r="44" spans="1:37" ht="17.25" customHeight="1" x14ac:dyDescent="0.3">
      <c r="A44" s="2021" t="s">
        <v>474</v>
      </c>
      <c r="B44" s="2022"/>
      <c r="C44" s="917"/>
      <c r="D44" s="692">
        <f>-'6 Estructura del Capital'!B41</f>
        <v>-2194000</v>
      </c>
      <c r="E44" s="692">
        <f>+E42</f>
        <v>2668838.0086363629</v>
      </c>
      <c r="F44" s="692">
        <f t="shared" ref="F44:N44" si="20">+F42</f>
        <v>1360563.4126853421</v>
      </c>
      <c r="G44" s="692">
        <f t="shared" si="20"/>
        <v>4851048.7661353685</v>
      </c>
      <c r="H44" s="692">
        <f t="shared" si="20"/>
        <v>5311219.1466296464</v>
      </c>
      <c r="I44" s="692">
        <f t="shared" si="20"/>
        <v>5959224.2382539064</v>
      </c>
      <c r="J44" s="692">
        <f t="shared" si="20"/>
        <v>6633928.4408685863</v>
      </c>
      <c r="K44" s="692">
        <f t="shared" si="20"/>
        <v>7002772.3462037258</v>
      </c>
      <c r="L44" s="692">
        <f t="shared" si="20"/>
        <v>8771898.9691555277</v>
      </c>
      <c r="M44" s="692">
        <f t="shared" si="20"/>
        <v>9902684.5697118267</v>
      </c>
      <c r="N44" s="692">
        <f t="shared" si="20"/>
        <v>10222578.329759434</v>
      </c>
      <c r="Q44" s="648"/>
      <c r="R44" s="648"/>
      <c r="AA44" s="1097">
        <f>SUM(D44:I44)</f>
        <v>17956893.572340626</v>
      </c>
      <c r="AB44" s="1098">
        <f>SUM(D44:N44)</f>
        <v>60490756.228039727</v>
      </c>
      <c r="AC44" s="1094">
        <f>+AA44-D44</f>
        <v>20150893.572340626</v>
      </c>
      <c r="AD44" s="1094">
        <f>-D44</f>
        <v>2194000</v>
      </c>
      <c r="AE44" s="1110">
        <f>+AC44/AD44</f>
        <v>9.1845458397176962</v>
      </c>
      <c r="AF44" s="1111">
        <f>+AB44-D44</f>
        <v>62684756.228039727</v>
      </c>
      <c r="AG44" s="1110">
        <f>AF44/AD44</f>
        <v>28.570991899744634</v>
      </c>
    </row>
    <row r="45" spans="1:37" ht="17.25" customHeight="1" x14ac:dyDescent="0.3">
      <c r="A45" s="2021" t="s">
        <v>475</v>
      </c>
      <c r="B45" s="2022"/>
      <c r="C45" s="917"/>
      <c r="D45" s="692">
        <f>-'6 Estructura del Capital'!B41</f>
        <v>-2194000</v>
      </c>
      <c r="E45" s="692">
        <f>+D45+E44</f>
        <v>474838.00863636285</v>
      </c>
      <c r="F45" s="692">
        <f t="shared" ref="F45:N45" si="21">+E45+F44</f>
        <v>1835401.421321705</v>
      </c>
      <c r="G45" s="692">
        <f t="shared" si="21"/>
        <v>6686450.1874570735</v>
      </c>
      <c r="H45" s="692">
        <f t="shared" si="21"/>
        <v>11997669.33408672</v>
      </c>
      <c r="I45" s="692">
        <f t="shared" si="21"/>
        <v>17956893.572340626</v>
      </c>
      <c r="J45" s="692">
        <f t="shared" si="21"/>
        <v>24590822.013209213</v>
      </c>
      <c r="K45" s="692">
        <f t="shared" si="21"/>
        <v>31593594.359412938</v>
      </c>
      <c r="L45" s="692">
        <f t="shared" si="21"/>
        <v>40365493.328568466</v>
      </c>
      <c r="M45" s="692">
        <f t="shared" si="21"/>
        <v>50268177.898280293</v>
      </c>
      <c r="N45" s="692">
        <f t="shared" si="21"/>
        <v>60490756.228039727</v>
      </c>
      <c r="Q45" s="648"/>
      <c r="R45" s="648"/>
      <c r="AA45" s="1099"/>
      <c r="AB45" s="653"/>
    </row>
    <row r="46" spans="1:37" ht="17.25" customHeight="1" x14ac:dyDescent="0.3">
      <c r="A46" s="2021" t="s">
        <v>467</v>
      </c>
      <c r="B46" s="2022"/>
      <c r="C46" s="917"/>
      <c r="D46" s="692">
        <f>-'6 Estructura del Capital'!B33</f>
        <v>-2044000</v>
      </c>
      <c r="E46" s="692">
        <f>+'4 Estado de Resultados'!AD28</f>
        <v>1791357.5264605943</v>
      </c>
      <c r="F46" s="692">
        <f>+'4 Estado de Resultados'!AE28</f>
        <v>3949205.447220468</v>
      </c>
      <c r="G46" s="692">
        <f>+'4 Estado de Resultados'!AF28</f>
        <v>4441324.6934959143</v>
      </c>
      <c r="H46" s="692">
        <f>+'4 Estado de Resultados'!AG28</f>
        <v>4970641.7851982443</v>
      </c>
      <c r="I46" s="692">
        <f>+'4 Estado de Resultados'!AH28</f>
        <v>5554961.6848831177</v>
      </c>
      <c r="J46" s="692">
        <f>+'4 Estado de Resultados'!AI28</f>
        <v>6215052.107124351</v>
      </c>
      <c r="K46" s="692">
        <f>+'4 Estado de Resultados'!AJ28</f>
        <v>7734815.2414545007</v>
      </c>
      <c r="L46" s="692">
        <f>+'4 Estado de Resultados'!AK28</f>
        <v>8462344.1509125177</v>
      </c>
      <c r="M46" s="692">
        <f>+'4 Estado de Resultados'!AL28</f>
        <v>9312835.9384547863</v>
      </c>
      <c r="N46" s="692">
        <f>+'4 Estado de Resultados'!AM28</f>
        <v>10168815.131001618</v>
      </c>
      <c r="Q46" s="648"/>
      <c r="R46" s="648"/>
      <c r="AA46" s="1099"/>
      <c r="AB46" s="653"/>
    </row>
    <row r="47" spans="1:37" ht="17.25" customHeight="1" x14ac:dyDescent="0.3">
      <c r="A47" s="2021" t="s">
        <v>237</v>
      </c>
      <c r="B47" s="2022"/>
      <c r="C47" s="917"/>
      <c r="D47" s="692"/>
      <c r="E47" s="692">
        <f>+'10 Gastos  Admon y Ventas'!AE24+'10 Gastos  Admon y Ventas'!AE25+'11 Gastos de Operación'!AD22+'11 Gastos de Operación'!AD23</f>
        <v>234300</v>
      </c>
      <c r="F47" s="692">
        <f>+'10 Gastos  Admon y Ventas'!AF24+'10 Gastos  Admon y Ventas'!AF25+'11 Gastos de Operación'!AE22+'11 Gastos de Operación'!AE23</f>
        <v>451300</v>
      </c>
      <c r="G47" s="692">
        <f>+'10 Gastos  Admon y Ventas'!AG24+'10 Gastos  Admon y Ventas'!AG25+'11 Gastos de Operación'!AF22+'11 Gastos de Operación'!AF23</f>
        <v>492100</v>
      </c>
      <c r="H47" s="692">
        <f>+'10 Gastos  Admon y Ventas'!AH24+'10 Gastos  Admon y Ventas'!AH25+'11 Gastos de Operación'!AG22+'11 Gastos de Operación'!AG23</f>
        <v>566100</v>
      </c>
      <c r="I47" s="692">
        <f>+'10 Gastos  Admon y Ventas'!AI24+'10 Gastos  Admon y Ventas'!AI25+'11 Gastos de Operación'!AH22+'11 Gastos de Operación'!AH23</f>
        <v>649100</v>
      </c>
      <c r="J47" s="692">
        <f>+'10 Gastos  Admon y Ventas'!AJ24+'10 Gastos  Admon y Ventas'!AJ25+'11 Gastos de Operación'!AI22+'11 Gastos de Operación'!AI23</f>
        <v>451100</v>
      </c>
      <c r="K47" s="692">
        <f>+'10 Gastos  Admon y Ventas'!AK24+'10 Gastos  Admon y Ventas'!AK25+'11 Gastos de Operación'!AJ22+'11 Gastos de Operación'!AJ23</f>
        <v>505100</v>
      </c>
      <c r="L47" s="692">
        <f>+'10 Gastos  Admon y Ventas'!AL24+'10 Gastos  Admon y Ventas'!AL25+'11 Gastos de Operación'!AK22+'11 Gastos de Operación'!AK23</f>
        <v>533300</v>
      </c>
      <c r="M47" s="692">
        <f>+'10 Gastos  Admon y Ventas'!AM24+'10 Gastos  Admon y Ventas'!AM25+'11 Gastos de Operación'!AL22+'11 Gastos de Operación'!AL23</f>
        <v>462100</v>
      </c>
      <c r="N47" s="692">
        <f>+'10 Gastos  Admon y Ventas'!AN24+'10 Gastos  Admon y Ventas'!AN25+'11 Gastos de Operación'!AM22+'11 Gastos de Operación'!AM23</f>
        <v>496100</v>
      </c>
      <c r="Q47" s="648"/>
      <c r="R47" s="648"/>
      <c r="AA47" s="1099"/>
      <c r="AB47" s="653"/>
    </row>
    <row r="48" spans="1:37" ht="17.25" customHeight="1" x14ac:dyDescent="0.3">
      <c r="A48" s="2021" t="s">
        <v>470</v>
      </c>
      <c r="B48" s="2022"/>
      <c r="C48" s="917"/>
      <c r="D48" s="692">
        <f t="shared" ref="D48:N48" si="22">+D47+D46</f>
        <v>-2044000</v>
      </c>
      <c r="E48" s="692">
        <f t="shared" si="22"/>
        <v>2025657.5264605943</v>
      </c>
      <c r="F48" s="692">
        <f t="shared" si="22"/>
        <v>4400505.447220468</v>
      </c>
      <c r="G48" s="692">
        <f t="shared" si="22"/>
        <v>4933424.6934959143</v>
      </c>
      <c r="H48" s="692">
        <f t="shared" si="22"/>
        <v>5536741.7851982443</v>
      </c>
      <c r="I48" s="692">
        <f t="shared" si="22"/>
        <v>6204061.6848831177</v>
      </c>
      <c r="J48" s="692">
        <f t="shared" si="22"/>
        <v>6666152.107124351</v>
      </c>
      <c r="K48" s="692">
        <f t="shared" si="22"/>
        <v>8239915.2414545007</v>
      </c>
      <c r="L48" s="692">
        <f t="shared" si="22"/>
        <v>8995644.1509125177</v>
      </c>
      <c r="M48" s="692">
        <f t="shared" si="22"/>
        <v>9774935.9384547863</v>
      </c>
      <c r="N48" s="692">
        <f t="shared" si="22"/>
        <v>10664915.131001618</v>
      </c>
      <c r="Q48" s="648"/>
      <c r="R48" s="648"/>
      <c r="AA48" s="1097">
        <f>SUM(D48:I48)</f>
        <v>21056391.13725834</v>
      </c>
      <c r="AB48" s="1098">
        <f>SUM(D48:N48)</f>
        <v>65397953.706206113</v>
      </c>
      <c r="AC48" s="1094">
        <f>+AA48-D48</f>
        <v>23100391.13725834</v>
      </c>
      <c r="AD48" s="1094">
        <f>-D48</f>
        <v>2044000</v>
      </c>
      <c r="AE48" s="1110">
        <f>+AC48/AD48</f>
        <v>11.301561221750655</v>
      </c>
      <c r="AF48" s="1111">
        <f>+AB48-D48</f>
        <v>67441953.706206113</v>
      </c>
      <c r="AG48" s="1110">
        <f>AF48/AD48</f>
        <v>32.995084983466789</v>
      </c>
    </row>
    <row r="49" spans="1:33" ht="17.25" customHeight="1" x14ac:dyDescent="0.3">
      <c r="A49" s="2021" t="s">
        <v>473</v>
      </c>
      <c r="B49" s="2022"/>
      <c r="C49" s="917"/>
      <c r="D49" s="692">
        <f>+D48</f>
        <v>-2044000</v>
      </c>
      <c r="E49" s="692">
        <f t="shared" ref="E49:N49" si="23">+D49+E48</f>
        <v>-18342.473539405735</v>
      </c>
      <c r="F49" s="692">
        <f t="shared" si="23"/>
        <v>4382162.9736810625</v>
      </c>
      <c r="G49" s="692">
        <f t="shared" si="23"/>
        <v>9315587.6671769768</v>
      </c>
      <c r="H49" s="692">
        <f t="shared" si="23"/>
        <v>14852329.452375222</v>
      </c>
      <c r="I49" s="692">
        <f t="shared" si="23"/>
        <v>21056391.13725834</v>
      </c>
      <c r="J49" s="692">
        <f t="shared" si="23"/>
        <v>27722543.244382691</v>
      </c>
      <c r="K49" s="692">
        <f t="shared" si="23"/>
        <v>35962458.485837191</v>
      </c>
      <c r="L49" s="692">
        <f t="shared" si="23"/>
        <v>44958102.636749707</v>
      </c>
      <c r="M49" s="692">
        <f t="shared" si="23"/>
        <v>54733038.575204492</v>
      </c>
      <c r="N49" s="692">
        <f t="shared" si="23"/>
        <v>65397953.706206113</v>
      </c>
      <c r="Q49" s="648"/>
      <c r="R49" s="648"/>
      <c r="AA49" s="1099"/>
      <c r="AB49" s="653"/>
    </row>
    <row r="50" spans="1:33" ht="17.25" customHeight="1" x14ac:dyDescent="0.3">
      <c r="A50" s="2021" t="s">
        <v>471</v>
      </c>
      <c r="B50" s="2022"/>
      <c r="C50" s="917"/>
      <c r="D50" s="1061">
        <f>-'6 Estructura del Capital'!B41</f>
        <v>-2194000</v>
      </c>
      <c r="E50" s="1061">
        <f>+E48</f>
        <v>2025657.5264605943</v>
      </c>
      <c r="F50" s="1061">
        <f t="shared" ref="F50:N50" si="24">+F48</f>
        <v>4400505.447220468</v>
      </c>
      <c r="G50" s="1061">
        <f t="shared" si="24"/>
        <v>4933424.6934959143</v>
      </c>
      <c r="H50" s="1061">
        <f t="shared" si="24"/>
        <v>5536741.7851982443</v>
      </c>
      <c r="I50" s="1061">
        <f t="shared" si="24"/>
        <v>6204061.6848831177</v>
      </c>
      <c r="J50" s="1061">
        <f t="shared" si="24"/>
        <v>6666152.107124351</v>
      </c>
      <c r="K50" s="1061">
        <f t="shared" si="24"/>
        <v>8239915.2414545007</v>
      </c>
      <c r="L50" s="1061">
        <f t="shared" si="24"/>
        <v>8995644.1509125177</v>
      </c>
      <c r="M50" s="1061">
        <f t="shared" si="24"/>
        <v>9774935.9384547863</v>
      </c>
      <c r="N50" s="1061">
        <f t="shared" si="24"/>
        <v>10664915.131001618</v>
      </c>
      <c r="Q50" s="648"/>
      <c r="R50" s="648"/>
      <c r="AA50" s="1097">
        <f>SUM(D50:I50)</f>
        <v>20906391.13725834</v>
      </c>
      <c r="AB50" s="1098">
        <f>SUM(D50:N50)</f>
        <v>65247953.706206113</v>
      </c>
      <c r="AC50" s="1094">
        <f>+AA50-D50</f>
        <v>23100391.13725834</v>
      </c>
      <c r="AD50" s="1094">
        <f>-D50</f>
        <v>2194000</v>
      </c>
      <c r="AE50" s="1110">
        <f>+AC50/AD50</f>
        <v>10.528892952259953</v>
      </c>
      <c r="AF50" s="1111">
        <f>+AB50-D50</f>
        <v>67441953.706206113</v>
      </c>
      <c r="AG50" s="1110">
        <f>AF50/AD50</f>
        <v>30.739267869738431</v>
      </c>
    </row>
    <row r="51" spans="1:33" ht="17.25" customHeight="1" x14ac:dyDescent="0.3">
      <c r="A51" s="1063" t="s">
        <v>468</v>
      </c>
      <c r="B51" s="917"/>
      <c r="C51" s="917"/>
      <c r="D51" s="692">
        <f>+D50</f>
        <v>-2194000</v>
      </c>
      <c r="E51" s="692">
        <f t="shared" ref="E51:N51" si="25">+D51+E50</f>
        <v>-168342.47353940574</v>
      </c>
      <c r="F51" s="692">
        <f t="shared" si="25"/>
        <v>4232162.9736810625</v>
      </c>
      <c r="G51" s="692">
        <f t="shared" si="25"/>
        <v>9165587.6671769768</v>
      </c>
      <c r="H51" s="692">
        <f t="shared" si="25"/>
        <v>14702329.452375222</v>
      </c>
      <c r="I51" s="692">
        <f t="shared" si="25"/>
        <v>20906391.13725834</v>
      </c>
      <c r="J51" s="692">
        <f t="shared" si="25"/>
        <v>27572543.244382691</v>
      </c>
      <c r="K51" s="692">
        <f t="shared" si="25"/>
        <v>35812458.485837191</v>
      </c>
      <c r="L51" s="692">
        <f t="shared" si="25"/>
        <v>44808102.636749707</v>
      </c>
      <c r="M51" s="692">
        <f t="shared" si="25"/>
        <v>54583038.575204492</v>
      </c>
      <c r="N51" s="692">
        <f t="shared" si="25"/>
        <v>65247953.706206113</v>
      </c>
      <c r="Q51" s="648"/>
      <c r="R51" s="648"/>
      <c r="AA51" s="653"/>
      <c r="AB51" s="653"/>
    </row>
    <row r="52" spans="1:33" ht="15" x14ac:dyDescent="0.3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Q52" s="648"/>
      <c r="R52" s="648"/>
      <c r="AA52" s="648"/>
      <c r="AB52" s="648"/>
    </row>
    <row r="53" spans="1:33" ht="16.5" x14ac:dyDescent="0.35">
      <c r="A53" s="2015" t="s">
        <v>485</v>
      </c>
      <c r="B53" s="2016"/>
      <c r="C53" s="2016"/>
      <c r="D53" s="2016"/>
      <c r="E53" s="2016"/>
      <c r="F53" s="2016"/>
      <c r="G53" s="2016"/>
      <c r="H53" s="2016"/>
      <c r="I53" s="2016"/>
      <c r="J53" s="2016"/>
      <c r="K53" s="2017"/>
      <c r="L53"/>
      <c r="M53"/>
      <c r="N53"/>
      <c r="Q53" s="648"/>
      <c r="R53" s="648"/>
      <c r="AA53" s="648"/>
      <c r="AB53" s="648"/>
    </row>
    <row r="54" spans="1:33" ht="15" x14ac:dyDescent="0.3">
      <c r="A54" s="2053" t="s">
        <v>136</v>
      </c>
      <c r="B54" s="2053"/>
      <c r="C54" s="2012" t="s">
        <v>49</v>
      </c>
      <c r="D54" s="2001" t="s">
        <v>482</v>
      </c>
      <c r="E54" s="2001"/>
      <c r="F54" s="2001" t="s">
        <v>480</v>
      </c>
      <c r="G54" s="2001"/>
      <c r="H54" s="2001" t="s">
        <v>483</v>
      </c>
      <c r="I54" s="2001"/>
      <c r="J54" s="2001" t="s">
        <v>481</v>
      </c>
      <c r="K54" s="2001"/>
      <c r="L54"/>
      <c r="M54"/>
      <c r="N54" s="648"/>
      <c r="Q54" s="648"/>
      <c r="R54" s="648"/>
      <c r="AA54" s="648"/>
      <c r="AB54" s="648"/>
    </row>
    <row r="55" spans="1:33" ht="15" x14ac:dyDescent="0.3">
      <c r="A55" s="2053"/>
      <c r="B55" s="2053"/>
      <c r="C55" s="2013"/>
      <c r="D55" s="1064" t="s">
        <v>476</v>
      </c>
      <c r="E55" s="1064" t="s">
        <v>477</v>
      </c>
      <c r="F55" s="1064" t="s">
        <v>476</v>
      </c>
      <c r="G55" s="1064" t="s">
        <v>477</v>
      </c>
      <c r="H55" s="1064" t="s">
        <v>476</v>
      </c>
      <c r="I55" s="1064" t="s">
        <v>477</v>
      </c>
      <c r="J55" s="1064" t="s">
        <v>476</v>
      </c>
      <c r="K55" s="1064" t="s">
        <v>477</v>
      </c>
      <c r="L55"/>
      <c r="M55"/>
      <c r="N55" s="648"/>
      <c r="Q55" s="648"/>
      <c r="R55" s="648"/>
      <c r="AA55" s="648"/>
      <c r="AB55" s="648"/>
    </row>
    <row r="56" spans="1:33" ht="15" x14ac:dyDescent="0.3">
      <c r="A56" s="2010" t="s">
        <v>479</v>
      </c>
      <c r="B56" s="2014"/>
      <c r="C56" s="1062"/>
      <c r="D56" s="768">
        <f>IRR(D42:I42,D13)</f>
        <v>1.3314909671268946</v>
      </c>
      <c r="E56" s="768">
        <f>IRR(D44:I44,D13)</f>
        <v>1.2486360541731187</v>
      </c>
      <c r="F56" s="768">
        <f>IRR(D48:I48,D13)</f>
        <v>1.4946829666446018</v>
      </c>
      <c r="G56" s="768">
        <f>IRR(D50:I50,D13)</f>
        <v>1.4084113933390667</v>
      </c>
      <c r="H56" s="768">
        <f>IRR(D42:N42,D13)</f>
        <v>1.3732035958902458</v>
      </c>
      <c r="I56" s="768">
        <f>IRR(D44:N44,D13)</f>
        <v>1.2947033331938762</v>
      </c>
      <c r="J56" s="768">
        <f>IRR(D48:N48,D13)</f>
        <v>1.5242141954126329</v>
      </c>
      <c r="K56" s="768">
        <f>IRR(D50:N50,D13)</f>
        <v>1.4411585278481271</v>
      </c>
      <c r="L56"/>
      <c r="M56"/>
      <c r="N56" s="648"/>
      <c r="Q56" s="648"/>
      <c r="R56" s="648"/>
      <c r="AA56" s="648"/>
      <c r="AB56" s="648"/>
    </row>
    <row r="57" spans="1:33" ht="15" x14ac:dyDescent="0.3">
      <c r="A57" s="2018" t="s">
        <v>488</v>
      </c>
      <c r="B57" s="2019"/>
      <c r="C57" s="768">
        <v>0.05</v>
      </c>
      <c r="D57" s="1065">
        <f t="shared" ref="D57:D72" si="26">NPV($C57,$E$42:$I$42)+D$42</f>
        <v>14961101.182149373</v>
      </c>
      <c r="E57" s="964">
        <f t="shared" ref="E57:E72" si="27">NPV($C57,$E$44:$I$44)+$D$44</f>
        <v>14811101.182149373</v>
      </c>
      <c r="F57" s="1065">
        <f t="shared" ref="F57:F72" si="28">NPV($C57,$E$48:$I$48)+$D$48</f>
        <v>17554399.382214304</v>
      </c>
      <c r="G57" s="1065">
        <f t="shared" ref="G57:G72" si="29">NPV($C57,$E$50:$I$50)+$D$50</f>
        <v>17404399.382214304</v>
      </c>
      <c r="H57" s="1065">
        <f t="shared" ref="H57:H72" si="30">NPV($C57,$E$42:$N$42)+D$42</f>
        <v>43484481.882699467</v>
      </c>
      <c r="I57" s="964">
        <f t="shared" ref="I57:I72" si="31">NPV($C57,$E$44:$N$44)+$D$44</f>
        <v>43334481.882699467</v>
      </c>
      <c r="J57" s="1065">
        <f t="shared" ref="J57:J72" si="32">NPV($C57,$E$48:$N$48)+$D$48</f>
        <v>47321688.301164262</v>
      </c>
      <c r="K57" s="1065">
        <f t="shared" ref="K57:K72" si="33">NPV($C57,$E$50:$N$50)+$D$50</f>
        <v>47171688.301164262</v>
      </c>
      <c r="L57"/>
      <c r="M57"/>
      <c r="N57" s="648"/>
      <c r="Q57" s="648"/>
      <c r="R57" s="648"/>
      <c r="AA57" s="648"/>
      <c r="AB57" s="648"/>
    </row>
    <row r="58" spans="1:33" ht="15" x14ac:dyDescent="0.3">
      <c r="A58" s="2018" t="s">
        <v>488</v>
      </c>
      <c r="B58" s="2019"/>
      <c r="C58" s="768">
        <f>+C57+0.01</f>
        <v>6.0000000000000005E-2</v>
      </c>
      <c r="D58" s="1065">
        <f t="shared" si="26"/>
        <v>14417764.433032133</v>
      </c>
      <c r="E58" s="964">
        <f t="shared" si="27"/>
        <v>14267764.433032133</v>
      </c>
      <c r="F58" s="1065">
        <f t="shared" si="28"/>
        <v>16947284.234843403</v>
      </c>
      <c r="G58" s="1065">
        <f t="shared" si="29"/>
        <v>16797284.234843403</v>
      </c>
      <c r="H58" s="1065">
        <f t="shared" si="30"/>
        <v>40824881.836852603</v>
      </c>
      <c r="I58" s="964">
        <f t="shared" si="31"/>
        <v>40674881.836852603</v>
      </c>
      <c r="J58" s="1065">
        <f t="shared" si="32"/>
        <v>44511653.570850678</v>
      </c>
      <c r="K58" s="1065">
        <f t="shared" si="33"/>
        <v>44361653.570850678</v>
      </c>
      <c r="L58"/>
      <c r="M58"/>
      <c r="N58" s="648"/>
      <c r="Q58" s="648"/>
      <c r="R58" s="648"/>
      <c r="AA58" s="648"/>
      <c r="AB58" s="648"/>
    </row>
    <row r="59" spans="1:33" ht="15" x14ac:dyDescent="0.3">
      <c r="A59" s="2018" t="s">
        <v>488</v>
      </c>
      <c r="B59" s="2019"/>
      <c r="C59" s="768">
        <f t="shared" ref="C59:C69" si="34">+C58+0.01</f>
        <v>7.0000000000000007E-2</v>
      </c>
      <c r="D59" s="1065">
        <f t="shared" si="26"/>
        <v>13899258.894385954</v>
      </c>
      <c r="E59" s="964">
        <f t="shared" si="27"/>
        <v>13749258.894385954</v>
      </c>
      <c r="F59" s="1065">
        <f t="shared" si="28"/>
        <v>16367217.896135051</v>
      </c>
      <c r="G59" s="1065">
        <f t="shared" si="29"/>
        <v>16217217.896135051</v>
      </c>
      <c r="H59" s="1065">
        <f t="shared" si="30"/>
        <v>38369069.997120604</v>
      </c>
      <c r="I59" s="964">
        <f t="shared" si="31"/>
        <v>38219069.997120604</v>
      </c>
      <c r="J59" s="1065">
        <f t="shared" si="32"/>
        <v>41914527.948565945</v>
      </c>
      <c r="K59" s="1065">
        <f t="shared" si="33"/>
        <v>41764527.948565945</v>
      </c>
      <c r="L59"/>
      <c r="M59"/>
      <c r="N59" s="648"/>
      <c r="Q59" s="648"/>
      <c r="R59" s="648"/>
      <c r="AA59" s="648"/>
      <c r="AB59" s="648"/>
    </row>
    <row r="60" spans="1:33" ht="15" x14ac:dyDescent="0.3">
      <c r="A60" s="2018" t="s">
        <v>488</v>
      </c>
      <c r="B60" s="2019"/>
      <c r="C60" s="768">
        <f t="shared" si="34"/>
        <v>0.08</v>
      </c>
      <c r="D60" s="1065">
        <f t="shared" si="26"/>
        <v>13404181.560218485</v>
      </c>
      <c r="E60" s="964">
        <f t="shared" si="27"/>
        <v>13254181.560218485</v>
      </c>
      <c r="F60" s="1065">
        <f t="shared" si="28"/>
        <v>15812695.185429119</v>
      </c>
      <c r="G60" s="1065">
        <f t="shared" si="29"/>
        <v>15662695.185429119</v>
      </c>
      <c r="H60" s="1065">
        <f t="shared" si="30"/>
        <v>36098755.687423848</v>
      </c>
      <c r="I60" s="964">
        <f t="shared" si="31"/>
        <v>35948755.687423848</v>
      </c>
      <c r="J60" s="1065">
        <f t="shared" si="32"/>
        <v>39511300.650118642</v>
      </c>
      <c r="K60" s="1065">
        <f t="shared" si="33"/>
        <v>39361300.650118642</v>
      </c>
      <c r="L60"/>
      <c r="M60"/>
      <c r="N60" s="648"/>
      <c r="Q60" s="648"/>
      <c r="R60" s="648"/>
      <c r="AA60" s="648"/>
      <c r="AB60" s="648"/>
    </row>
    <row r="61" spans="1:33" ht="15" customHeight="1" x14ac:dyDescent="0.3">
      <c r="A61" s="2018" t="s">
        <v>488</v>
      </c>
      <c r="B61" s="2019"/>
      <c r="C61" s="768">
        <f t="shared" si="34"/>
        <v>0.09</v>
      </c>
      <c r="D61" s="1065">
        <f t="shared" si="26"/>
        <v>12931222.374884816</v>
      </c>
      <c r="E61" s="964">
        <f t="shared" si="27"/>
        <v>12781222.374884816</v>
      </c>
      <c r="F61" s="1065">
        <f t="shared" si="28"/>
        <v>15282309.723380502</v>
      </c>
      <c r="G61" s="1065">
        <f t="shared" si="29"/>
        <v>15132309.723380502</v>
      </c>
      <c r="H61" s="1065">
        <f t="shared" si="30"/>
        <v>33997492.365071036</v>
      </c>
      <c r="I61" s="964">
        <f t="shared" si="31"/>
        <v>33847492.365071036</v>
      </c>
      <c r="J61" s="1065">
        <f t="shared" si="32"/>
        <v>37284872.150843613</v>
      </c>
      <c r="K61" s="1065">
        <f t="shared" si="33"/>
        <v>37134872.150843613</v>
      </c>
      <c r="Q61" s="648"/>
      <c r="R61" s="648"/>
      <c r="AA61" s="648"/>
      <c r="AB61" s="648"/>
    </row>
    <row r="62" spans="1:33" ht="15" customHeight="1" x14ac:dyDescent="0.3">
      <c r="A62" s="2018" t="s">
        <v>488</v>
      </c>
      <c r="B62" s="2019"/>
      <c r="C62" s="768">
        <f t="shared" si="34"/>
        <v>9.9999999999999992E-2</v>
      </c>
      <c r="D62" s="1065">
        <f t="shared" si="26"/>
        <v>12479157.221811101</v>
      </c>
      <c r="E62" s="964">
        <f t="shared" si="27"/>
        <v>12329157.221811101</v>
      </c>
      <c r="F62" s="1065">
        <f t="shared" si="28"/>
        <v>14774746.522823598</v>
      </c>
      <c r="G62" s="1065">
        <f t="shared" si="29"/>
        <v>14624746.522823598</v>
      </c>
      <c r="H62" s="1065">
        <f t="shared" si="30"/>
        <v>32050473.384880088</v>
      </c>
      <c r="I62" s="964">
        <f t="shared" si="31"/>
        <v>31900473.384880088</v>
      </c>
      <c r="J62" s="1065">
        <f t="shared" si="32"/>
        <v>35219842.899230294</v>
      </c>
      <c r="K62" s="1065">
        <f t="shared" si="33"/>
        <v>35069842.899230294</v>
      </c>
      <c r="Q62" s="648"/>
      <c r="R62" s="648"/>
      <c r="AA62" s="648"/>
      <c r="AB62" s="648"/>
    </row>
    <row r="63" spans="1:33" ht="15" customHeight="1" x14ac:dyDescent="0.3">
      <c r="A63" s="2018" t="s">
        <v>488</v>
      </c>
      <c r="B63" s="2019"/>
      <c r="C63" s="768">
        <f t="shared" si="34"/>
        <v>0.10999999999999999</v>
      </c>
      <c r="D63" s="1065">
        <f t="shared" si="26"/>
        <v>12046841.502741834</v>
      </c>
      <c r="E63" s="964">
        <f t="shared" si="27"/>
        <v>11896841.502741834</v>
      </c>
      <c r="F63" s="1065">
        <f t="shared" si="28"/>
        <v>14288775.201267408</v>
      </c>
      <c r="G63" s="1065">
        <f t="shared" si="29"/>
        <v>14138775.201267408</v>
      </c>
      <c r="H63" s="1065">
        <f t="shared" si="30"/>
        <v>30244352.25944059</v>
      </c>
      <c r="I63" s="964">
        <f t="shared" si="31"/>
        <v>30094352.25944059</v>
      </c>
      <c r="J63" s="1065">
        <f t="shared" si="32"/>
        <v>33302327.340902068</v>
      </c>
      <c r="K63" s="1065">
        <f t="shared" si="33"/>
        <v>33152327.340902068</v>
      </c>
      <c r="Q63" s="648"/>
      <c r="R63" s="648"/>
      <c r="AA63" s="648"/>
      <c r="AB63" s="648"/>
    </row>
    <row r="64" spans="1:33" ht="15" customHeight="1" x14ac:dyDescent="0.3">
      <c r="A64" s="2018" t="s">
        <v>488</v>
      </c>
      <c r="B64" s="2019"/>
      <c r="C64" s="768">
        <f t="shared" si="34"/>
        <v>0.11999999999999998</v>
      </c>
      <c r="D64" s="1065">
        <f t="shared" si="26"/>
        <v>11633204.252754567</v>
      </c>
      <c r="E64" s="964">
        <f t="shared" si="27"/>
        <v>11483204.252754567</v>
      </c>
      <c r="F64" s="1065">
        <f t="shared" si="28"/>
        <v>13823243.757532462</v>
      </c>
      <c r="G64" s="1065">
        <f t="shared" si="29"/>
        <v>13673243.757532462</v>
      </c>
      <c r="H64" s="1065">
        <f t="shared" si="30"/>
        <v>28567084.264924586</v>
      </c>
      <c r="I64" s="964">
        <f t="shared" si="31"/>
        <v>28417084.264924586</v>
      </c>
      <c r="J64" s="1065">
        <f t="shared" si="32"/>
        <v>31519790.000495382</v>
      </c>
      <c r="K64" s="1065">
        <f t="shared" si="33"/>
        <v>31369790.000495382</v>
      </c>
      <c r="Q64" s="648"/>
      <c r="R64" s="648"/>
      <c r="AA64" s="648"/>
      <c r="AB64" s="648"/>
    </row>
    <row r="65" spans="1:28" ht="15" customHeight="1" x14ac:dyDescent="0.3">
      <c r="A65" s="2018" t="s">
        <v>488</v>
      </c>
      <c r="B65" s="2019"/>
      <c r="C65" s="768">
        <f t="shared" si="34"/>
        <v>0.12999999999999998</v>
      </c>
      <c r="D65" s="1065">
        <f t="shared" si="26"/>
        <v>11237242.741815493</v>
      </c>
      <c r="E65" s="964">
        <f t="shared" si="27"/>
        <v>11087242.741815493</v>
      </c>
      <c r="F65" s="1065">
        <f t="shared" si="28"/>
        <v>13377072.86083561</v>
      </c>
      <c r="G65" s="1065">
        <f t="shared" si="29"/>
        <v>13227072.86083561</v>
      </c>
      <c r="H65" s="1065">
        <f t="shared" si="30"/>
        <v>27007786.673176397</v>
      </c>
      <c r="I65" s="964">
        <f t="shared" si="31"/>
        <v>26857786.673176397</v>
      </c>
      <c r="J65" s="1065">
        <f t="shared" si="32"/>
        <v>29860900.813975453</v>
      </c>
      <c r="K65" s="1065">
        <f t="shared" si="33"/>
        <v>29710900.813975453</v>
      </c>
      <c r="Q65" s="648"/>
      <c r="R65" s="648"/>
      <c r="AA65" s="648"/>
      <c r="AB65" s="648"/>
    </row>
    <row r="66" spans="1:28" ht="15" x14ac:dyDescent="0.3">
      <c r="A66" s="2018" t="s">
        <v>488</v>
      </c>
      <c r="B66" s="2019"/>
      <c r="C66" s="768">
        <f>+C65+0.01</f>
        <v>0.13999999999999999</v>
      </c>
      <c r="D66" s="1065">
        <f t="shared" si="26"/>
        <v>10858017.51857537</v>
      </c>
      <c r="E66" s="964">
        <f t="shared" si="27"/>
        <v>10708017.51857537</v>
      </c>
      <c r="F66" s="1065">
        <f t="shared" si="28"/>
        <v>12949250.605791874</v>
      </c>
      <c r="G66" s="1065">
        <f t="shared" si="29"/>
        <v>12799250.605791874</v>
      </c>
      <c r="H66" s="1065">
        <f t="shared" si="30"/>
        <v>25556615.259644769</v>
      </c>
      <c r="I66" s="964">
        <f t="shared" si="31"/>
        <v>25406615.259644769</v>
      </c>
      <c r="J66" s="1065">
        <f t="shared" si="32"/>
        <v>28315407.28447099</v>
      </c>
      <c r="K66" s="1065">
        <f t="shared" si="33"/>
        <v>28165407.28447099</v>
      </c>
      <c r="L66"/>
      <c r="M66"/>
      <c r="N66" s="648"/>
      <c r="Q66" s="648"/>
      <c r="R66" s="648"/>
      <c r="AA66" s="648"/>
      <c r="AB66" s="648"/>
    </row>
    <row r="67" spans="1:28" ht="15" x14ac:dyDescent="0.3">
      <c r="A67" s="2018" t="s">
        <v>488</v>
      </c>
      <c r="B67" s="2019"/>
      <c r="C67" s="768">
        <f t="shared" si="34"/>
        <v>0.15</v>
      </c>
      <c r="D67" s="1065">
        <f t="shared" si="26"/>
        <v>10494647.85649983</v>
      </c>
      <c r="E67" s="964">
        <f t="shared" si="27"/>
        <v>10344647.85649983</v>
      </c>
      <c r="F67" s="1065">
        <f t="shared" si="28"/>
        <v>12538827.691409238</v>
      </c>
      <c r="G67" s="1065">
        <f t="shared" si="29"/>
        <v>12388827.691409238</v>
      </c>
      <c r="H67" s="1065">
        <f t="shared" si="30"/>
        <v>24204655.052601632</v>
      </c>
      <c r="I67" s="964">
        <f t="shared" si="31"/>
        <v>24054655.052601632</v>
      </c>
      <c r="J67" s="1065">
        <f t="shared" si="32"/>
        <v>26874021.360649183</v>
      </c>
      <c r="K67" s="1065">
        <f t="shared" si="33"/>
        <v>26724021.360649183</v>
      </c>
      <c r="L67"/>
      <c r="M67"/>
      <c r="N67" s="648"/>
      <c r="Q67" s="648"/>
      <c r="R67" s="648"/>
      <c r="AA67" s="648"/>
      <c r="AB67" s="648"/>
    </row>
    <row r="68" spans="1:28" ht="15" x14ac:dyDescent="0.3">
      <c r="A68" s="2018" t="s">
        <v>488</v>
      </c>
      <c r="B68" s="2019"/>
      <c r="C68" s="768">
        <f t="shared" si="34"/>
        <v>0.16</v>
      </c>
      <c r="D68" s="1065">
        <f t="shared" si="26"/>
        <v>10146307.566351233</v>
      </c>
      <c r="E68" s="964">
        <f t="shared" si="27"/>
        <v>9996307.5663512331</v>
      </c>
      <c r="F68" s="1065">
        <f t="shared" si="28"/>
        <v>12144912.986265775</v>
      </c>
      <c r="G68" s="1065">
        <f t="shared" si="29"/>
        <v>11994912.986265775</v>
      </c>
      <c r="H68" s="1065">
        <f t="shared" si="30"/>
        <v>22943823.560026173</v>
      </c>
      <c r="I68" s="964">
        <f t="shared" si="31"/>
        <v>22793823.560026173</v>
      </c>
      <c r="J68" s="1065">
        <f t="shared" si="32"/>
        <v>25528319.21623515</v>
      </c>
      <c r="K68" s="1065">
        <f t="shared" si="33"/>
        <v>25378319.21623515</v>
      </c>
      <c r="L68"/>
      <c r="M68"/>
      <c r="N68" s="648"/>
      <c r="Q68" s="648"/>
      <c r="R68" s="648"/>
      <c r="AA68" s="648"/>
      <c r="AB68" s="648"/>
    </row>
    <row r="69" spans="1:28" ht="15" x14ac:dyDescent="0.3">
      <c r="A69" s="2018" t="s">
        <v>488</v>
      </c>
      <c r="B69" s="2019"/>
      <c r="C69" s="768">
        <f t="shared" si="34"/>
        <v>0.17</v>
      </c>
      <c r="D69" s="1065">
        <f t="shared" si="26"/>
        <v>9812221.1425461248</v>
      </c>
      <c r="E69" s="964">
        <f t="shared" si="27"/>
        <v>9662221.1425461248</v>
      </c>
      <c r="F69" s="1065">
        <f t="shared" si="28"/>
        <v>11766669.445735808</v>
      </c>
      <c r="G69" s="1065">
        <f t="shared" si="29"/>
        <v>11616669.445735808</v>
      </c>
      <c r="H69" s="1065">
        <f t="shared" si="30"/>
        <v>21766784.94326188</v>
      </c>
      <c r="I69" s="964">
        <f t="shared" si="31"/>
        <v>21616784.94326188</v>
      </c>
      <c r="J69" s="1065">
        <f t="shared" si="32"/>
        <v>24270652.349458233</v>
      </c>
      <c r="K69" s="1065">
        <f t="shared" si="33"/>
        <v>24120652.349458233</v>
      </c>
      <c r="L69"/>
      <c r="M69"/>
      <c r="N69" s="648"/>
      <c r="Q69" s="648"/>
      <c r="R69" s="648"/>
      <c r="AA69" s="648"/>
      <c r="AB69" s="648"/>
    </row>
    <row r="70" spans="1:28" ht="15" x14ac:dyDescent="0.3">
      <c r="A70" s="2018" t="s">
        <v>488</v>
      </c>
      <c r="B70" s="2019"/>
      <c r="C70" s="768">
        <f>+C69+0.01</f>
        <v>0.18000000000000002</v>
      </c>
      <c r="D70" s="1065">
        <f t="shared" si="26"/>
        <v>9491660.214049926</v>
      </c>
      <c r="E70" s="964">
        <f t="shared" si="27"/>
        <v>9341660.214049926</v>
      </c>
      <c r="F70" s="1065">
        <f t="shared" si="28"/>
        <v>11403310.350422809</v>
      </c>
      <c r="G70" s="1065">
        <f t="shared" si="29"/>
        <v>11253310.350422809</v>
      </c>
      <c r="H70" s="1065">
        <f t="shared" si="30"/>
        <v>20666873.806753859</v>
      </c>
      <c r="I70" s="964">
        <f t="shared" si="31"/>
        <v>20516873.806753859</v>
      </c>
      <c r="J70" s="1065">
        <f t="shared" si="32"/>
        <v>23094068.627833348</v>
      </c>
      <c r="K70" s="1065">
        <f t="shared" si="33"/>
        <v>22944068.627833348</v>
      </c>
      <c r="L70"/>
      <c r="M70"/>
      <c r="N70" s="648"/>
      <c r="Q70"/>
      <c r="R70"/>
      <c r="S70"/>
      <c r="T70"/>
      <c r="U70"/>
      <c r="V70"/>
      <c r="W70"/>
      <c r="AA70"/>
      <c r="AB70"/>
    </row>
    <row r="71" spans="1:28" ht="15" x14ac:dyDescent="0.3">
      <c r="A71" s="2018" t="s">
        <v>488</v>
      </c>
      <c r="B71" s="2019"/>
      <c r="C71" s="768">
        <f>+C70+0.01</f>
        <v>0.19000000000000003</v>
      </c>
      <c r="D71" s="1065">
        <f t="shared" si="26"/>
        <v>9183940.2732805796</v>
      </c>
      <c r="E71" s="964">
        <f t="shared" si="27"/>
        <v>9033940.2732805796</v>
      </c>
      <c r="F71" s="1065">
        <f t="shared" si="28"/>
        <v>11054095.837904448</v>
      </c>
      <c r="G71" s="1065">
        <f t="shared" si="29"/>
        <v>10904095.837904448</v>
      </c>
      <c r="H71" s="1065">
        <f t="shared" si="30"/>
        <v>19638027.445637353</v>
      </c>
      <c r="I71" s="964">
        <f t="shared" si="31"/>
        <v>19488027.445637353</v>
      </c>
      <c r="J71" s="1065">
        <f t="shared" si="32"/>
        <v>21992242.081700154</v>
      </c>
      <c r="K71" s="1065">
        <f t="shared" si="33"/>
        <v>21842242.081700154</v>
      </c>
      <c r="L71"/>
      <c r="M71"/>
      <c r="N71" s="648"/>
      <c r="Q71" s="648"/>
      <c r="R71" s="648"/>
      <c r="AA71" s="648"/>
      <c r="AB71" s="648"/>
    </row>
    <row r="72" spans="1:28" ht="15" x14ac:dyDescent="0.3">
      <c r="A72" s="2010" t="s">
        <v>488</v>
      </c>
      <c r="B72" s="2011"/>
      <c r="C72" s="768">
        <f>+C71+0.01</f>
        <v>0.20000000000000004</v>
      </c>
      <c r="D72" s="1065">
        <f t="shared" si="26"/>
        <v>8888417.6590121239</v>
      </c>
      <c r="E72" s="964">
        <f t="shared" si="27"/>
        <v>8738417.6590121239</v>
      </c>
      <c r="F72" s="1065">
        <f t="shared" si="28"/>
        <v>10718329.702538576</v>
      </c>
      <c r="G72" s="1065">
        <f t="shared" si="29"/>
        <v>10568329.702538576</v>
      </c>
      <c r="H72" s="1065">
        <f t="shared" si="30"/>
        <v>18674725.541726481</v>
      </c>
      <c r="I72" s="964">
        <f t="shared" si="31"/>
        <v>18524725.541726481</v>
      </c>
      <c r="J72" s="1065">
        <f t="shared" si="32"/>
        <v>20959410.40352378</v>
      </c>
      <c r="K72" s="1065">
        <f t="shared" si="33"/>
        <v>20809410.40352378</v>
      </c>
      <c r="L72"/>
      <c r="M72"/>
      <c r="N72" s="648"/>
      <c r="Q72" s="648"/>
      <c r="R72" s="648"/>
      <c r="AA72" s="648"/>
      <c r="AB72" s="648"/>
    </row>
    <row r="73" spans="1:28" ht="15" x14ac:dyDescent="0.3">
      <c r="A73"/>
      <c r="B73" s="1045"/>
      <c r="C73" s="1045"/>
      <c r="D73" t="str">
        <f>CONCATENATE(D55,"   ",D54)</f>
        <v>Socios   Financiera 5 años</v>
      </c>
      <c r="E73" t="str">
        <f>CONCATENATE(E55,"   ",D54)</f>
        <v>Socios -Creditos   Financiera 5 años</v>
      </c>
      <c r="F73" t="str">
        <f>CONCATENATE(F55,"   ",F54)</f>
        <v xml:space="preserve">Socios   Económica 5 años </v>
      </c>
      <c r="G73" t="str">
        <f>CONCATENATE(G55,"   ",F54)</f>
        <v xml:space="preserve">Socios -Creditos   Económica 5 años </v>
      </c>
      <c r="H73" t="str">
        <f>CONCATENATE(H55,"   ",H54)</f>
        <v>Socios   Financiera 10 años</v>
      </c>
      <c r="I73" t="str">
        <f>CONCATENATE(I55,"   ",H54)</f>
        <v>Socios -Creditos   Financiera 10 años</v>
      </c>
      <c r="J73" t="str">
        <f>CONCATENATE(J55,"   ",J54)</f>
        <v xml:space="preserve">Socios   Económica 10 años </v>
      </c>
      <c r="K73" t="str">
        <f>CONCATENATE(K55,"   ",J54)</f>
        <v xml:space="preserve">Socios -Creditos   Económica 10 años </v>
      </c>
      <c r="L73"/>
      <c r="M73"/>
      <c r="N73" s="648"/>
      <c r="Q73" s="648"/>
      <c r="R73" s="648"/>
      <c r="AA73" s="648"/>
      <c r="AB73" s="648"/>
    </row>
    <row r="74" spans="1:28" ht="15" x14ac:dyDescent="0.3">
      <c r="A74"/>
      <c r="B74" s="1045"/>
      <c r="C74" s="1045"/>
      <c r="D74"/>
      <c r="E74"/>
      <c r="F74"/>
      <c r="G74"/>
      <c r="H74"/>
      <c r="I74"/>
      <c r="J74"/>
      <c r="K74"/>
      <c r="L74"/>
      <c r="M74"/>
      <c r="N74" s="648"/>
      <c r="Q74" s="648"/>
      <c r="R74" s="648"/>
      <c r="AA74" s="648"/>
      <c r="AB74" s="648"/>
    </row>
    <row r="75" spans="1:28" ht="15" x14ac:dyDescent="0.3">
      <c r="A75"/>
      <c r="B75" s="1045"/>
      <c r="C75" s="1045"/>
      <c r="D75"/>
      <c r="E75"/>
      <c r="F75"/>
      <c r="G75"/>
      <c r="H75"/>
      <c r="I75"/>
      <c r="J75"/>
      <c r="K75"/>
      <c r="L75"/>
      <c r="M75"/>
      <c r="N75" s="648"/>
      <c r="Q75" s="648"/>
      <c r="R75" s="648"/>
      <c r="AA75" s="648"/>
      <c r="AB75" s="648"/>
    </row>
    <row r="76" spans="1:28" ht="15" x14ac:dyDescent="0.3">
      <c r="A76"/>
      <c r="B76" s="1045"/>
      <c r="C76" s="1045"/>
      <c r="D76"/>
      <c r="E76"/>
      <c r="F76"/>
      <c r="G76"/>
      <c r="H76"/>
      <c r="I76"/>
      <c r="J76"/>
      <c r="K76"/>
      <c r="L76"/>
      <c r="M76"/>
      <c r="N76" s="648"/>
      <c r="Q76" s="648"/>
      <c r="R76" s="648"/>
      <c r="AA76" s="648"/>
      <c r="AB76" s="648"/>
    </row>
    <row r="77" spans="1:28" ht="15" x14ac:dyDescent="0.3">
      <c r="A77"/>
      <c r="B77" s="1045"/>
      <c r="C77" s="1045"/>
      <c r="D77"/>
      <c r="E77"/>
      <c r="F77"/>
      <c r="G77"/>
      <c r="H77"/>
      <c r="I77"/>
      <c r="J77"/>
      <c r="K77"/>
      <c r="L77"/>
      <c r="M77"/>
      <c r="N77" s="648"/>
      <c r="Q77" s="648"/>
      <c r="R77" s="648"/>
      <c r="AA77" s="648"/>
      <c r="AB77" s="648"/>
    </row>
    <row r="78" spans="1:28" ht="15" x14ac:dyDescent="0.3">
      <c r="A78"/>
      <c r="B78" s="1045"/>
      <c r="C78" s="1045"/>
      <c r="D78"/>
      <c r="E78"/>
      <c r="F78"/>
      <c r="G78"/>
      <c r="H78"/>
      <c r="I78"/>
      <c r="J78"/>
      <c r="K78"/>
      <c r="L78"/>
      <c r="M78"/>
      <c r="N78" s="648"/>
      <c r="Q78" s="648"/>
      <c r="R78" s="648"/>
      <c r="AA78" s="648"/>
      <c r="AB78" s="648"/>
    </row>
    <row r="79" spans="1:28" ht="15" x14ac:dyDescent="0.3">
      <c r="A79"/>
      <c r="B79" s="1045"/>
      <c r="C79" s="1045"/>
      <c r="D79"/>
      <c r="E79"/>
      <c r="F79"/>
      <c r="G79"/>
      <c r="H79"/>
      <c r="I79"/>
      <c r="J79"/>
      <c r="K79"/>
      <c r="L79"/>
      <c r="M79"/>
      <c r="N79" s="648"/>
      <c r="Q79" s="648"/>
      <c r="R79" s="648"/>
      <c r="AA79" s="648"/>
      <c r="AB79" s="648"/>
    </row>
    <row r="80" spans="1:28" ht="15" x14ac:dyDescent="0.3">
      <c r="A80"/>
      <c r="B80" s="1045"/>
      <c r="C80" s="1045"/>
      <c r="D80"/>
      <c r="E80"/>
      <c r="F80"/>
      <c r="G80"/>
      <c r="H80"/>
      <c r="I80"/>
      <c r="J80"/>
      <c r="K80"/>
      <c r="L80"/>
      <c r="M80"/>
      <c r="N80" s="648"/>
      <c r="Q80" s="648"/>
      <c r="R80" s="648"/>
      <c r="AA80" s="648"/>
      <c r="AB80" s="648"/>
    </row>
    <row r="81" spans="1:28" ht="15" x14ac:dyDescent="0.3">
      <c r="A81"/>
      <c r="B81" s="1045"/>
      <c r="C81" s="1045"/>
      <c r="D81"/>
      <c r="E81"/>
      <c r="F81"/>
      <c r="G81"/>
      <c r="H81"/>
      <c r="I81"/>
      <c r="J81"/>
      <c r="K81"/>
      <c r="L81"/>
      <c r="M81"/>
      <c r="N81" s="648"/>
      <c r="Q81" s="648"/>
      <c r="R81" s="648"/>
      <c r="AA81" s="648"/>
      <c r="AB81" s="648"/>
    </row>
    <row r="82" spans="1:28" ht="15" x14ac:dyDescent="0.3">
      <c r="A82"/>
      <c r="B82" s="1045"/>
      <c r="C82" s="1045"/>
      <c r="D82"/>
      <c r="E82"/>
      <c r="F82"/>
      <c r="G82"/>
      <c r="H82"/>
      <c r="I82"/>
      <c r="J82"/>
      <c r="K82"/>
      <c r="L82"/>
      <c r="M82"/>
      <c r="N82" s="648"/>
      <c r="Q82" s="648"/>
      <c r="R82" s="648"/>
      <c r="AA82" s="648"/>
      <c r="AB82" s="648"/>
    </row>
    <row r="83" spans="1:28" ht="15" x14ac:dyDescent="0.3">
      <c r="A83"/>
      <c r="B83" s="1045"/>
      <c r="C83" s="1045"/>
      <c r="D83"/>
      <c r="E83"/>
      <c r="F83"/>
      <c r="G83"/>
      <c r="H83"/>
      <c r="I83"/>
      <c r="J83"/>
      <c r="K83"/>
      <c r="L83"/>
      <c r="M83"/>
      <c r="N83" s="648"/>
      <c r="Q83" s="648"/>
      <c r="R83" s="648"/>
      <c r="AA83" s="648"/>
      <c r="AB83" s="648"/>
    </row>
    <row r="84" spans="1:28" ht="15" x14ac:dyDescent="0.3">
      <c r="A84"/>
      <c r="B84" s="1045"/>
      <c r="C84" s="1045"/>
      <c r="D84"/>
      <c r="E84"/>
      <c r="F84"/>
      <c r="G84"/>
      <c r="H84"/>
      <c r="I84"/>
      <c r="J84"/>
      <c r="K84"/>
      <c r="L84"/>
      <c r="M84"/>
      <c r="N84" s="648"/>
      <c r="Q84" s="648"/>
      <c r="R84" s="648"/>
      <c r="AA84" s="648"/>
      <c r="AB84" s="648"/>
    </row>
    <row r="85" spans="1:28" ht="15" x14ac:dyDescent="0.3">
      <c r="A85"/>
      <c r="B85" s="1045"/>
      <c r="C85" s="1045"/>
      <c r="D85"/>
      <c r="E85"/>
      <c r="F85"/>
      <c r="G85"/>
      <c r="H85"/>
      <c r="I85"/>
      <c r="J85"/>
      <c r="K85"/>
      <c r="L85"/>
      <c r="M85"/>
      <c r="N85" s="648"/>
      <c r="Q85" s="648"/>
      <c r="R85" s="648"/>
      <c r="AA85" s="648"/>
      <c r="AB85" s="648"/>
    </row>
    <row r="86" spans="1:28" ht="15" x14ac:dyDescent="0.3">
      <c r="A86"/>
      <c r="B86" s="1045"/>
      <c r="C86" s="1045"/>
      <c r="D86"/>
      <c r="E86"/>
      <c r="F86"/>
      <c r="G86"/>
      <c r="H86"/>
      <c r="I86"/>
      <c r="J86"/>
      <c r="K86"/>
      <c r="L86"/>
      <c r="M86"/>
      <c r="N86" s="648"/>
      <c r="Q86" s="648"/>
      <c r="R86" s="648"/>
      <c r="AA86" s="648"/>
      <c r="AB86" s="648"/>
    </row>
    <row r="87" spans="1:28" ht="15" x14ac:dyDescent="0.3">
      <c r="A87"/>
      <c r="B87" s="1045"/>
      <c r="C87" s="1045"/>
      <c r="D87"/>
      <c r="E87"/>
      <c r="F87"/>
      <c r="G87"/>
      <c r="H87"/>
      <c r="I87"/>
      <c r="J87"/>
      <c r="K87"/>
      <c r="L87"/>
      <c r="M87"/>
      <c r="N87" s="648"/>
      <c r="Q87" s="648"/>
      <c r="R87" s="648"/>
      <c r="AA87" s="648"/>
      <c r="AB87" s="648"/>
    </row>
    <row r="88" spans="1:28" ht="15" x14ac:dyDescent="0.3">
      <c r="A88"/>
      <c r="B88" s="1045"/>
      <c r="C88" s="1045"/>
      <c r="D88"/>
      <c r="E88"/>
      <c r="F88"/>
      <c r="G88"/>
      <c r="H88"/>
      <c r="I88"/>
      <c r="J88"/>
      <c r="K88"/>
      <c r="L88"/>
      <c r="M88"/>
      <c r="N88" s="648"/>
      <c r="Q88" s="648"/>
      <c r="R88" s="648"/>
      <c r="AA88" s="648"/>
      <c r="AB88" s="648"/>
    </row>
    <row r="89" spans="1:28" ht="15" x14ac:dyDescent="0.3">
      <c r="A89"/>
      <c r="B89" s="1045"/>
      <c r="C89" s="1045"/>
      <c r="D89"/>
      <c r="E89"/>
      <c r="F89"/>
      <c r="G89"/>
      <c r="H89"/>
      <c r="I89"/>
      <c r="J89"/>
      <c r="K89"/>
      <c r="L89"/>
      <c r="M89"/>
      <c r="N89" s="648"/>
      <c r="Q89" s="648"/>
      <c r="R89" s="648"/>
      <c r="AA89" s="648"/>
      <c r="AB89" s="648"/>
    </row>
    <row r="90" spans="1:28" ht="15" x14ac:dyDescent="0.3">
      <c r="A90"/>
      <c r="B90" s="1045"/>
      <c r="C90" s="1045"/>
      <c r="D90"/>
      <c r="E90"/>
      <c r="F90"/>
      <c r="G90"/>
      <c r="H90"/>
      <c r="I90"/>
      <c r="J90"/>
      <c r="K90"/>
      <c r="L90"/>
      <c r="M90"/>
      <c r="N90" s="648"/>
      <c r="Q90" s="648"/>
      <c r="R90" s="648"/>
      <c r="AA90" s="648"/>
      <c r="AB90" s="648"/>
    </row>
    <row r="91" spans="1:28" ht="15" x14ac:dyDescent="0.3">
      <c r="A91"/>
      <c r="B91" s="1045"/>
      <c r="C91" s="1045"/>
      <c r="D91"/>
      <c r="E91"/>
      <c r="F91"/>
      <c r="G91"/>
      <c r="H91"/>
      <c r="I91"/>
      <c r="J91"/>
      <c r="K91"/>
      <c r="L91"/>
      <c r="M91"/>
      <c r="N91" s="648"/>
      <c r="Q91" s="648"/>
      <c r="R91" s="648"/>
      <c r="AA91" s="648"/>
      <c r="AB91" s="648"/>
    </row>
    <row r="92" spans="1:28" ht="15" x14ac:dyDescent="0.3">
      <c r="A92"/>
      <c r="B92" s="1045"/>
      <c r="C92" s="1045"/>
      <c r="D92"/>
      <c r="E92"/>
      <c r="F92"/>
      <c r="G92"/>
      <c r="H92"/>
      <c r="I92"/>
      <c r="J92"/>
      <c r="K92"/>
      <c r="L92"/>
      <c r="M92"/>
      <c r="N92" s="648"/>
      <c r="Q92" s="648"/>
      <c r="R92" s="648"/>
      <c r="AA92" s="648"/>
      <c r="AB92" s="648"/>
    </row>
    <row r="93" spans="1:28" ht="15" x14ac:dyDescent="0.3">
      <c r="A93"/>
      <c r="B93" s="1045"/>
      <c r="C93" s="1045"/>
      <c r="D93"/>
      <c r="E93"/>
      <c r="F93"/>
      <c r="G93"/>
      <c r="H93"/>
      <c r="I93"/>
      <c r="J93"/>
      <c r="K93"/>
      <c r="L93"/>
      <c r="M93"/>
      <c r="N93" s="648"/>
      <c r="Q93" s="648"/>
      <c r="R93" s="648"/>
      <c r="AA93" s="648"/>
      <c r="AB93" s="648"/>
    </row>
    <row r="94" spans="1:28" ht="15" x14ac:dyDescent="0.3">
      <c r="A94"/>
      <c r="B94" s="1045"/>
      <c r="C94" s="1045"/>
      <c r="D94"/>
      <c r="E94"/>
      <c r="F94"/>
      <c r="G94"/>
      <c r="H94"/>
      <c r="I94"/>
      <c r="J94"/>
      <c r="K94"/>
      <c r="L94"/>
      <c r="M94"/>
      <c r="N94" s="648"/>
      <c r="Q94" s="648"/>
      <c r="R94" s="648"/>
      <c r="AA94" s="648"/>
      <c r="AB94" s="648"/>
    </row>
    <row r="95" spans="1:28" ht="15" x14ac:dyDescent="0.3">
      <c r="A95"/>
      <c r="B95" s="1045"/>
      <c r="C95" s="1045"/>
      <c r="D95"/>
      <c r="E95"/>
      <c r="F95"/>
      <c r="G95"/>
      <c r="H95"/>
      <c r="I95"/>
      <c r="J95"/>
      <c r="K95"/>
      <c r="L95"/>
      <c r="M95"/>
      <c r="N95" s="648"/>
      <c r="Q95" s="648"/>
      <c r="R95" s="648"/>
      <c r="AA95" s="648"/>
      <c r="AB95" s="648"/>
    </row>
    <row r="96" spans="1:28" ht="15" x14ac:dyDescent="0.3">
      <c r="A96"/>
      <c r="B96" s="1045"/>
      <c r="C96" s="1045"/>
      <c r="D96"/>
      <c r="E96"/>
      <c r="F96"/>
      <c r="G96"/>
      <c r="H96"/>
      <c r="I96"/>
      <c r="J96"/>
      <c r="K96"/>
      <c r="L96"/>
      <c r="M96"/>
      <c r="N96" s="648"/>
      <c r="Q96" s="648"/>
      <c r="R96" s="648"/>
      <c r="AA96" s="648"/>
      <c r="AB96" s="648"/>
    </row>
    <row r="97" spans="1:33" ht="24.75" customHeight="1" x14ac:dyDescent="0.2">
      <c r="A97" s="1994" t="s">
        <v>492</v>
      </c>
      <c r="B97" s="1994"/>
      <c r="C97" s="1994"/>
      <c r="D97" s="1994"/>
      <c r="E97" s="1994"/>
      <c r="F97" s="1994"/>
      <c r="G97" s="1994"/>
      <c r="H97" s="1994"/>
      <c r="I97" s="1994"/>
      <c r="J97" s="1994"/>
      <c r="K97" s="1994"/>
      <c r="L97" s="1994"/>
      <c r="M97" s="1994"/>
      <c r="N97" s="1994"/>
      <c r="Q97" s="648"/>
      <c r="R97" s="648"/>
      <c r="AA97" s="648"/>
      <c r="AB97" s="648"/>
    </row>
    <row r="98" spans="1:33" ht="16.5" x14ac:dyDescent="0.2">
      <c r="A98" s="2003" t="s">
        <v>377</v>
      </c>
      <c r="B98" s="2004"/>
      <c r="C98" s="1067"/>
      <c r="D98" s="1411" t="s">
        <v>161</v>
      </c>
      <c r="E98" s="1411">
        <v>1</v>
      </c>
      <c r="F98" s="1411">
        <v>2</v>
      </c>
      <c r="G98" s="1411">
        <v>3</v>
      </c>
      <c r="H98" s="1411">
        <v>4</v>
      </c>
      <c r="I98" s="1411">
        <v>5</v>
      </c>
      <c r="J98" s="1411">
        <v>6</v>
      </c>
      <c r="K98" s="1411">
        <v>7</v>
      </c>
      <c r="L98" s="1411">
        <v>8</v>
      </c>
      <c r="M98" s="1412">
        <v>9</v>
      </c>
      <c r="N98" s="1412">
        <v>10</v>
      </c>
      <c r="Q98" s="648"/>
      <c r="R98" s="648"/>
      <c r="AA98" s="648"/>
      <c r="AB98" s="648"/>
    </row>
    <row r="99" spans="1:33" ht="16.5" x14ac:dyDescent="0.2">
      <c r="A99" s="1479"/>
      <c r="B99" s="1480"/>
      <c r="C99" s="1034"/>
      <c r="D99" s="1411">
        <f>+'17 Hoja de Trabajo'!$D$2</f>
        <v>2017</v>
      </c>
      <c r="E99" s="1411">
        <f>+D99</f>
        <v>2017</v>
      </c>
      <c r="F99" s="1411">
        <f>+E99+1</f>
        <v>2018</v>
      </c>
      <c r="G99" s="1411">
        <f t="shared" ref="G99:N99" si="35">+F99+1</f>
        <v>2019</v>
      </c>
      <c r="H99" s="1411">
        <f t="shared" si="35"/>
        <v>2020</v>
      </c>
      <c r="I99" s="1411">
        <f t="shared" si="35"/>
        <v>2021</v>
      </c>
      <c r="J99" s="1411">
        <f t="shared" si="35"/>
        <v>2022</v>
      </c>
      <c r="K99" s="1411">
        <f t="shared" si="35"/>
        <v>2023</v>
      </c>
      <c r="L99" s="1411">
        <f t="shared" si="35"/>
        <v>2024</v>
      </c>
      <c r="M99" s="1411">
        <f t="shared" si="35"/>
        <v>2025</v>
      </c>
      <c r="N99" s="1411">
        <f t="shared" si="35"/>
        <v>2026</v>
      </c>
      <c r="Q99" s="648"/>
      <c r="R99" s="648"/>
      <c r="AA99" s="648"/>
      <c r="AB99" s="648"/>
    </row>
    <row r="100" spans="1:33" ht="15" x14ac:dyDescent="0.3">
      <c r="A100" s="2007" t="s">
        <v>487</v>
      </c>
      <c r="B100" s="2007"/>
      <c r="C100" s="1078">
        <v>0.05</v>
      </c>
      <c r="D100" s="62">
        <f>+$D$42</f>
        <v>-2044000</v>
      </c>
      <c r="E100" s="62">
        <f>E$42/(1+$C100)^E$98</f>
        <v>2541750.4844155838</v>
      </c>
      <c r="F100" s="62">
        <f t="shared" ref="F100:N100" si="36">F$42/(1+$C100)^F$98</f>
        <v>1234071.1226170904</v>
      </c>
      <c r="G100" s="62">
        <f t="shared" si="36"/>
        <v>4190518.3164974563</v>
      </c>
      <c r="H100" s="62">
        <f t="shared" si="36"/>
        <v>4369553.1360942377</v>
      </c>
      <c r="I100" s="62">
        <f t="shared" si="36"/>
        <v>4669208.1225250056</v>
      </c>
      <c r="J100" s="62">
        <f t="shared" si="36"/>
        <v>4950339.542761757</v>
      </c>
      <c r="K100" s="62">
        <f t="shared" si="36"/>
        <v>4976739.5655984953</v>
      </c>
      <c r="L100" s="62">
        <f t="shared" si="36"/>
        <v>5937166.5020633256</v>
      </c>
      <c r="M100" s="62">
        <f t="shared" si="36"/>
        <v>6383358.7681286447</v>
      </c>
      <c r="N100" s="62">
        <f t="shared" si="36"/>
        <v>6275776.3219978753</v>
      </c>
      <c r="Q100" s="648"/>
      <c r="R100" s="648"/>
      <c r="AA100" s="1094">
        <f>SUM(D100:I100)</f>
        <v>14961101.182149373</v>
      </c>
      <c r="AB100" s="1070">
        <f>SUM(D100:N100)</f>
        <v>43484481.882699467</v>
      </c>
      <c r="AC100" s="1094">
        <f>+AA100-D100</f>
        <v>17005101.182149373</v>
      </c>
      <c r="AD100" s="1094">
        <f>-D100</f>
        <v>2044000</v>
      </c>
      <c r="AE100" s="1110">
        <f>+AC100/AD100</f>
        <v>8.3195211262961699</v>
      </c>
      <c r="AF100" s="1111">
        <f>+AB100-D100</f>
        <v>45528481.882699467</v>
      </c>
      <c r="AG100" s="1110">
        <f>AF100/AD100</f>
        <v>22.274208357485062</v>
      </c>
    </row>
    <row r="101" spans="1:33" ht="15" x14ac:dyDescent="0.3">
      <c r="A101" s="2007" t="s">
        <v>487</v>
      </c>
      <c r="B101" s="2007"/>
      <c r="C101" s="1078">
        <v>0.1</v>
      </c>
      <c r="D101" s="62">
        <f>+$D$42</f>
        <v>-2044000</v>
      </c>
      <c r="E101" s="62">
        <f t="shared" ref="E101:N103" si="37">E$42/(1+$C101)^E$98</f>
        <v>2426216.3714876026</v>
      </c>
      <c r="F101" s="62">
        <f t="shared" si="37"/>
        <v>1124432.5724672247</v>
      </c>
      <c r="G101" s="62">
        <f t="shared" si="37"/>
        <v>3644664.7378928377</v>
      </c>
      <c r="H101" s="62">
        <f t="shared" si="37"/>
        <v>3627634.1415406358</v>
      </c>
      <c r="I101" s="62">
        <f t="shared" si="37"/>
        <v>3700209.3984228005</v>
      </c>
      <c r="J101" s="62">
        <f t="shared" si="37"/>
        <v>3744679.6587126176</v>
      </c>
      <c r="K101" s="62">
        <f t="shared" si="37"/>
        <v>3593529.479575933</v>
      </c>
      <c r="L101" s="62">
        <f t="shared" si="37"/>
        <v>4092155.6075652041</v>
      </c>
      <c r="M101" s="62">
        <f t="shared" si="37"/>
        <v>4199704.9415087383</v>
      </c>
      <c r="N101" s="62">
        <f t="shared" si="37"/>
        <v>3941246.4757064977</v>
      </c>
      <c r="Q101" s="648"/>
      <c r="R101" s="648"/>
      <c r="AA101" s="1094">
        <f>SUM(D101:I101)</f>
        <v>12479157.221811101</v>
      </c>
      <c r="AB101" s="1070">
        <f>SUM(D101:N101)</f>
        <v>32050473.384880092</v>
      </c>
      <c r="AC101" s="1094">
        <f t="shared" ref="AC101:AC103" si="38">+AA101-D101</f>
        <v>14523157.221811101</v>
      </c>
      <c r="AD101" s="1094">
        <f t="shared" ref="AD101:AD103" si="39">-D101</f>
        <v>2044000</v>
      </c>
      <c r="AE101" s="1110">
        <f t="shared" ref="AE101:AE103" si="40">+AC101/AD101</f>
        <v>7.1052628286747073</v>
      </c>
      <c r="AF101" s="1111">
        <f t="shared" ref="AF101:AF103" si="41">+AB101-D101</f>
        <v>34094473.384880096</v>
      </c>
      <c r="AG101" s="1110">
        <f t="shared" ref="AG101:AG103" si="42">AF101/AD101</f>
        <v>16.680270736242708</v>
      </c>
    </row>
    <row r="102" spans="1:33" ht="15" x14ac:dyDescent="0.3">
      <c r="A102" s="2007" t="s">
        <v>487</v>
      </c>
      <c r="B102" s="2007"/>
      <c r="C102" s="1078">
        <v>0.15</v>
      </c>
      <c r="D102" s="62">
        <f>+$D$42</f>
        <v>-2044000</v>
      </c>
      <c r="E102" s="62">
        <f t="shared" si="37"/>
        <v>2320728.703162055</v>
      </c>
      <c r="F102" s="62">
        <f t="shared" si="37"/>
        <v>1028781.4084577258</v>
      </c>
      <c r="G102" s="62">
        <f t="shared" si="37"/>
        <v>3189643.3080531731</v>
      </c>
      <c r="H102" s="62">
        <f t="shared" si="37"/>
        <v>3036706.7851413614</v>
      </c>
      <c r="I102" s="62">
        <f t="shared" si="37"/>
        <v>2962787.6516855154</v>
      </c>
      <c r="J102" s="62">
        <f t="shared" si="37"/>
        <v>2868030.334290016</v>
      </c>
      <c r="K102" s="62">
        <f t="shared" si="37"/>
        <v>2632601.5070871194</v>
      </c>
      <c r="L102" s="62">
        <f t="shared" si="37"/>
        <v>2867549.3330163108</v>
      </c>
      <c r="M102" s="62">
        <f t="shared" si="37"/>
        <v>2814961.0014590165</v>
      </c>
      <c r="N102" s="62">
        <f t="shared" si="37"/>
        <v>2526865.0202493402</v>
      </c>
      <c r="Q102" s="648"/>
      <c r="R102" s="648"/>
      <c r="AA102" s="1094">
        <f>SUM(D102:I102)</f>
        <v>10494647.85649983</v>
      </c>
      <c r="AB102" s="1070">
        <f>SUM(D102:N102)</f>
        <v>24204655.052601635</v>
      </c>
      <c r="AC102" s="1094">
        <f t="shared" si="38"/>
        <v>12538647.85649983</v>
      </c>
      <c r="AD102" s="1094">
        <f t="shared" si="39"/>
        <v>2044000</v>
      </c>
      <c r="AE102" s="1110">
        <f t="shared" si="40"/>
        <v>6.1343678358609735</v>
      </c>
      <c r="AF102" s="1111">
        <f t="shared" si="41"/>
        <v>26248655.052601635</v>
      </c>
      <c r="AG102" s="1110">
        <f t="shared" si="42"/>
        <v>12.841807755675946</v>
      </c>
    </row>
    <row r="103" spans="1:33" ht="15" x14ac:dyDescent="0.3">
      <c r="A103" s="2007" t="s">
        <v>487</v>
      </c>
      <c r="B103" s="2007"/>
      <c r="C103" s="1078">
        <v>0.2</v>
      </c>
      <c r="D103" s="62">
        <f>+$D$42</f>
        <v>-2044000</v>
      </c>
      <c r="E103" s="62">
        <f t="shared" si="37"/>
        <v>2224031.6738636359</v>
      </c>
      <c r="F103" s="62">
        <f t="shared" si="37"/>
        <v>944835.70325370983</v>
      </c>
      <c r="G103" s="62">
        <f t="shared" si="37"/>
        <v>2807319.8878098195</v>
      </c>
      <c r="H103" s="62">
        <f t="shared" si="37"/>
        <v>2561351.826113834</v>
      </c>
      <c r="I103" s="62">
        <f t="shared" si="37"/>
        <v>2394878.5679711238</v>
      </c>
      <c r="J103" s="62">
        <f t="shared" si="37"/>
        <v>2221689.212289345</v>
      </c>
      <c r="K103" s="62">
        <f t="shared" si="37"/>
        <v>1954345.2415808118</v>
      </c>
      <c r="L103" s="62">
        <f t="shared" si="37"/>
        <v>2040063.3447325928</v>
      </c>
      <c r="M103" s="62">
        <f t="shared" si="37"/>
        <v>1919206.6123267077</v>
      </c>
      <c r="N103" s="62">
        <f t="shared" si="37"/>
        <v>1651003.4717849032</v>
      </c>
      <c r="Q103" s="648"/>
      <c r="R103" s="648"/>
      <c r="AA103" s="1094">
        <f>SUM(D103:I103)</f>
        <v>8888417.6590121221</v>
      </c>
      <c r="AB103" s="1070">
        <f>SUM(D103:N103)</f>
        <v>18674725.541726485</v>
      </c>
      <c r="AC103" s="1094">
        <f t="shared" si="38"/>
        <v>10932417.659012122</v>
      </c>
      <c r="AD103" s="1094">
        <f t="shared" si="39"/>
        <v>2044000</v>
      </c>
      <c r="AE103" s="1110">
        <f t="shared" si="40"/>
        <v>5.348540929066596</v>
      </c>
      <c r="AF103" s="1111">
        <f t="shared" si="41"/>
        <v>20718725.541726485</v>
      </c>
      <c r="AG103" s="1110">
        <f t="shared" si="42"/>
        <v>10.136362789494367</v>
      </c>
    </row>
    <row r="104" spans="1:33" ht="15" x14ac:dyDescent="0.3">
      <c r="A104" s="1079"/>
      <c r="B104" s="1069"/>
      <c r="C104" s="1045"/>
      <c r="D104" s="1045"/>
      <c r="E104" s="1045"/>
      <c r="F104" s="1045"/>
      <c r="G104" s="1045"/>
      <c r="H104" s="1045"/>
      <c r="I104" s="1045"/>
      <c r="J104" s="1045"/>
      <c r="K104" s="1045"/>
      <c r="L104" s="6"/>
      <c r="M104" s="6"/>
      <c r="N104" s="1080"/>
      <c r="Q104" s="648"/>
      <c r="R104" s="648"/>
      <c r="AB104" s="648"/>
    </row>
    <row r="105" spans="1:33" ht="15" x14ac:dyDescent="0.3">
      <c r="A105" s="2007" t="s">
        <v>489</v>
      </c>
      <c r="B105" s="2007"/>
      <c r="C105" s="768">
        <f>+C100</f>
        <v>0.05</v>
      </c>
      <c r="D105" s="1061">
        <f>+$D$44</f>
        <v>-2194000</v>
      </c>
      <c r="E105" s="62">
        <f>E$44/(1+$C105)^E$98</f>
        <v>2541750.4844155838</v>
      </c>
      <c r="F105" s="62">
        <f t="shared" ref="F105:N105" si="43">F$44/(1+$C105)^F$98</f>
        <v>1234071.1226170904</v>
      </c>
      <c r="G105" s="62">
        <f t="shared" si="43"/>
        <v>4190518.3164974563</v>
      </c>
      <c r="H105" s="62">
        <f t="shared" si="43"/>
        <v>4369553.1360942377</v>
      </c>
      <c r="I105" s="62">
        <f t="shared" si="43"/>
        <v>4669208.1225250056</v>
      </c>
      <c r="J105" s="62">
        <f t="shared" si="43"/>
        <v>4950339.542761757</v>
      </c>
      <c r="K105" s="62">
        <f t="shared" si="43"/>
        <v>4976739.5655984953</v>
      </c>
      <c r="L105" s="62">
        <f t="shared" si="43"/>
        <v>5937166.5020633256</v>
      </c>
      <c r="M105" s="62">
        <f t="shared" si="43"/>
        <v>6383358.7681286447</v>
      </c>
      <c r="N105" s="62">
        <f t="shared" si="43"/>
        <v>6275776.3219978753</v>
      </c>
      <c r="Q105" s="648"/>
      <c r="R105" s="648"/>
      <c r="AA105" s="1094">
        <f>SUM(D105:I105)</f>
        <v>14811101.182149373</v>
      </c>
      <c r="AB105" s="1070">
        <f>SUM(D105:N105)</f>
        <v>43334481.882699467</v>
      </c>
      <c r="AC105" s="1094">
        <f>+AA105-D105</f>
        <v>17005101.182149373</v>
      </c>
      <c r="AD105" s="1094">
        <f>-D105</f>
        <v>2194000</v>
      </c>
      <c r="AE105" s="1110">
        <f>+AC105/AD105</f>
        <v>7.7507298004327136</v>
      </c>
      <c r="AF105" s="1111">
        <f>+AB105-D105</f>
        <v>45528481.882699467</v>
      </c>
      <c r="AG105" s="1110">
        <f>AF105/AD105</f>
        <v>20.751359107884898</v>
      </c>
    </row>
    <row r="106" spans="1:33" ht="15" x14ac:dyDescent="0.3">
      <c r="A106" s="2007" t="s">
        <v>489</v>
      </c>
      <c r="B106" s="2007"/>
      <c r="C106" s="768">
        <f>+C101</f>
        <v>0.1</v>
      </c>
      <c r="D106" s="1061">
        <f>+$D$44</f>
        <v>-2194000</v>
      </c>
      <c r="E106" s="62">
        <f t="shared" ref="E106:N108" si="44">E$44/(1+$C106)^E$98</f>
        <v>2426216.3714876026</v>
      </c>
      <c r="F106" s="62">
        <f t="shared" si="44"/>
        <v>1124432.5724672247</v>
      </c>
      <c r="G106" s="62">
        <f t="shared" si="44"/>
        <v>3644664.7378928377</v>
      </c>
      <c r="H106" s="62">
        <f t="shared" si="44"/>
        <v>3627634.1415406358</v>
      </c>
      <c r="I106" s="62">
        <f t="shared" si="44"/>
        <v>3700209.3984228005</v>
      </c>
      <c r="J106" s="62">
        <f t="shared" si="44"/>
        <v>3744679.6587126176</v>
      </c>
      <c r="K106" s="62">
        <f t="shared" si="44"/>
        <v>3593529.479575933</v>
      </c>
      <c r="L106" s="62">
        <f t="shared" si="44"/>
        <v>4092155.6075652041</v>
      </c>
      <c r="M106" s="62">
        <f t="shared" si="44"/>
        <v>4199704.9415087383</v>
      </c>
      <c r="N106" s="62">
        <f t="shared" si="44"/>
        <v>3941246.4757064977</v>
      </c>
      <c r="Q106" s="648"/>
      <c r="R106" s="648"/>
      <c r="AA106" s="1094">
        <f>SUM(D106:I106)</f>
        <v>12329157.221811101</v>
      </c>
      <c r="AB106" s="1070">
        <f>SUM(D106:N106)</f>
        <v>31900473.384880092</v>
      </c>
      <c r="AC106" s="1094">
        <f t="shared" ref="AC106:AC108" si="45">+AA106-D106</f>
        <v>14523157.221811101</v>
      </c>
      <c r="AD106" s="1094">
        <f t="shared" ref="AD106:AD108" si="46">-D106</f>
        <v>2194000</v>
      </c>
      <c r="AE106" s="1110">
        <f t="shared" ref="AE106:AE108" si="47">+AC106/AD106</f>
        <v>6.6194882505975849</v>
      </c>
      <c r="AF106" s="1111">
        <f t="shared" ref="AF106:AF108" si="48">+AB106-D106</f>
        <v>34094473.384880096</v>
      </c>
      <c r="AG106" s="1110">
        <f t="shared" ref="AG106:AG108" si="49">AF106/AD106</f>
        <v>15.539869364120372</v>
      </c>
    </row>
    <row r="107" spans="1:33" ht="15" x14ac:dyDescent="0.3">
      <c r="A107" s="2007" t="s">
        <v>489</v>
      </c>
      <c r="B107" s="2007"/>
      <c r="C107" s="768">
        <f>+C102</f>
        <v>0.15</v>
      </c>
      <c r="D107" s="1061">
        <f>+$D$44</f>
        <v>-2194000</v>
      </c>
      <c r="E107" s="62">
        <f t="shared" si="44"/>
        <v>2320728.703162055</v>
      </c>
      <c r="F107" s="62">
        <f t="shared" si="44"/>
        <v>1028781.4084577258</v>
      </c>
      <c r="G107" s="62">
        <f t="shared" si="44"/>
        <v>3189643.3080531731</v>
      </c>
      <c r="H107" s="62">
        <f t="shared" si="44"/>
        <v>3036706.7851413614</v>
      </c>
      <c r="I107" s="62">
        <f t="shared" si="44"/>
        <v>2962787.6516855154</v>
      </c>
      <c r="J107" s="62">
        <f t="shared" si="44"/>
        <v>2868030.334290016</v>
      </c>
      <c r="K107" s="62">
        <f t="shared" si="44"/>
        <v>2632601.5070871194</v>
      </c>
      <c r="L107" s="62">
        <f t="shared" si="44"/>
        <v>2867549.3330163108</v>
      </c>
      <c r="M107" s="62">
        <f t="shared" si="44"/>
        <v>2814961.0014590165</v>
      </c>
      <c r="N107" s="62">
        <f t="shared" si="44"/>
        <v>2526865.0202493402</v>
      </c>
      <c r="Q107" s="648"/>
      <c r="R107" s="648"/>
      <c r="AA107" s="1094">
        <f>SUM(D107:I107)</f>
        <v>10344647.85649983</v>
      </c>
      <c r="AB107" s="1070">
        <f>SUM(D107:N107)</f>
        <v>24054655.052601635</v>
      </c>
      <c r="AC107" s="1094">
        <f t="shared" si="45"/>
        <v>12538647.85649983</v>
      </c>
      <c r="AD107" s="1094">
        <f t="shared" si="46"/>
        <v>2194000</v>
      </c>
      <c r="AE107" s="1110">
        <f t="shared" si="47"/>
        <v>5.7149716757063951</v>
      </c>
      <c r="AF107" s="1111">
        <f t="shared" si="48"/>
        <v>26248655.052601635</v>
      </c>
      <c r="AG107" s="1110">
        <f t="shared" si="49"/>
        <v>11.963835484321621</v>
      </c>
    </row>
    <row r="108" spans="1:33" ht="15" x14ac:dyDescent="0.3">
      <c r="A108" s="2007" t="s">
        <v>489</v>
      </c>
      <c r="B108" s="2007"/>
      <c r="C108" s="768">
        <f>+C103</f>
        <v>0.2</v>
      </c>
      <c r="D108" s="1061">
        <f>+$D$44</f>
        <v>-2194000</v>
      </c>
      <c r="E108" s="62">
        <f t="shared" si="44"/>
        <v>2224031.6738636359</v>
      </c>
      <c r="F108" s="62">
        <f t="shared" si="44"/>
        <v>944835.70325370983</v>
      </c>
      <c r="G108" s="62">
        <f t="shared" si="44"/>
        <v>2807319.8878098195</v>
      </c>
      <c r="H108" s="62">
        <f t="shared" si="44"/>
        <v>2561351.826113834</v>
      </c>
      <c r="I108" s="62">
        <f t="shared" si="44"/>
        <v>2394878.5679711238</v>
      </c>
      <c r="J108" s="62">
        <f t="shared" si="44"/>
        <v>2221689.212289345</v>
      </c>
      <c r="K108" s="62">
        <f t="shared" si="44"/>
        <v>1954345.2415808118</v>
      </c>
      <c r="L108" s="62">
        <f t="shared" si="44"/>
        <v>2040063.3447325928</v>
      </c>
      <c r="M108" s="62">
        <f t="shared" si="44"/>
        <v>1919206.6123267077</v>
      </c>
      <c r="N108" s="62">
        <f t="shared" si="44"/>
        <v>1651003.4717849032</v>
      </c>
      <c r="Q108" s="648"/>
      <c r="R108" s="648"/>
      <c r="AA108" s="1094">
        <f>SUM(D108:I108)</f>
        <v>8738417.6590121221</v>
      </c>
      <c r="AB108" s="1070">
        <f>SUM(D108:N108)</f>
        <v>18524725.541726485</v>
      </c>
      <c r="AC108" s="1094">
        <f t="shared" si="45"/>
        <v>10932417.659012122</v>
      </c>
      <c r="AD108" s="1094">
        <f t="shared" si="46"/>
        <v>2194000</v>
      </c>
      <c r="AE108" s="1110">
        <f t="shared" si="47"/>
        <v>4.9828704006436286</v>
      </c>
      <c r="AF108" s="1111">
        <f t="shared" si="48"/>
        <v>20718725.541726485</v>
      </c>
      <c r="AG108" s="1110">
        <f t="shared" si="49"/>
        <v>9.4433571293192724</v>
      </c>
    </row>
    <row r="109" spans="1:33" ht="15" x14ac:dyDescent="0.3">
      <c r="A109" s="1079"/>
      <c r="B109" s="1069"/>
      <c r="C109" s="1045"/>
      <c r="D109" s="1073"/>
      <c r="E109" s="1073"/>
      <c r="F109" s="1073"/>
      <c r="G109" s="1073"/>
      <c r="H109" s="1073"/>
      <c r="I109" s="1073"/>
      <c r="J109" s="1073"/>
      <c r="K109" s="1073"/>
      <c r="L109" s="1081"/>
      <c r="M109" s="1081"/>
      <c r="N109" s="1082"/>
      <c r="Q109" s="648"/>
      <c r="R109" s="648"/>
      <c r="AB109" s="648"/>
    </row>
    <row r="110" spans="1:33" ht="15" x14ac:dyDescent="0.3">
      <c r="A110" s="2007" t="s">
        <v>490</v>
      </c>
      <c r="B110" s="2007"/>
      <c r="C110" s="768">
        <f>+C105</f>
        <v>0.05</v>
      </c>
      <c r="D110" s="1061">
        <f>+$D$48</f>
        <v>-2044000</v>
      </c>
      <c r="E110" s="62">
        <f>E$48/(1+$C110)^E$98</f>
        <v>1929197.644248185</v>
      </c>
      <c r="F110" s="62">
        <f t="shared" ref="F110:N110" si="50">F$48/(1+$C110)^F$98</f>
        <v>3991388.1607441884</v>
      </c>
      <c r="G110" s="62">
        <f t="shared" si="50"/>
        <v>4261677.7397653935</v>
      </c>
      <c r="H110" s="62">
        <f t="shared" si="50"/>
        <v>4555091.1689662179</v>
      </c>
      <c r="I110" s="62">
        <f t="shared" si="50"/>
        <v>4861044.6684903177</v>
      </c>
      <c r="J110" s="62">
        <f t="shared" si="50"/>
        <v>4974385.3386578886</v>
      </c>
      <c r="K110" s="62">
        <f t="shared" si="50"/>
        <v>5855953.9239563458</v>
      </c>
      <c r="L110" s="62">
        <f t="shared" si="50"/>
        <v>6088606.0481407195</v>
      </c>
      <c r="M110" s="62">
        <f t="shared" si="50"/>
        <v>6301010.8613857366</v>
      </c>
      <c r="N110" s="62">
        <f t="shared" si="50"/>
        <v>6547332.7468092768</v>
      </c>
      <c r="Q110" s="648"/>
      <c r="R110" s="648"/>
      <c r="AA110" s="1094">
        <f>SUM(D110:I110)</f>
        <v>17554399.3822143</v>
      </c>
      <c r="AB110" s="1070">
        <f>SUM(D110:N110)</f>
        <v>47321688.301164269</v>
      </c>
      <c r="AC110" s="1094">
        <f>+AA110-D110</f>
        <v>19598399.3822143</v>
      </c>
      <c r="AD110" s="1094">
        <f>-D110</f>
        <v>2044000</v>
      </c>
      <c r="AE110" s="1110">
        <f>+AC110/AD110</f>
        <v>9.5882580147819478</v>
      </c>
      <c r="AF110" s="1111">
        <f>+AB110-D110</f>
        <v>49365688.301164269</v>
      </c>
      <c r="AG110" s="1110">
        <f>AF110/AD110</f>
        <v>24.151510910550034</v>
      </c>
    </row>
    <row r="111" spans="1:33" ht="15" x14ac:dyDescent="0.3">
      <c r="A111" s="2007" t="s">
        <v>490</v>
      </c>
      <c r="B111" s="2007"/>
      <c r="C111" s="768">
        <f>+C106</f>
        <v>0.1</v>
      </c>
      <c r="D111" s="1061">
        <f>+$D$48</f>
        <v>-2044000</v>
      </c>
      <c r="E111" s="62">
        <f t="shared" ref="E111:N113" si="51">E$48/(1+$C111)^E$98</f>
        <v>1841506.8422369037</v>
      </c>
      <c r="F111" s="62">
        <f t="shared" si="51"/>
        <v>3636781.3613392292</v>
      </c>
      <c r="G111" s="62">
        <f t="shared" si="51"/>
        <v>3706554.9913568092</v>
      </c>
      <c r="H111" s="62">
        <f t="shared" si="51"/>
        <v>3781669.1381724216</v>
      </c>
      <c r="I111" s="62">
        <f t="shared" si="51"/>
        <v>3852234.1897182357</v>
      </c>
      <c r="J111" s="62">
        <f t="shared" si="51"/>
        <v>3762869.0782447504</v>
      </c>
      <c r="K111" s="62">
        <f t="shared" si="51"/>
        <v>4228379.3996853083</v>
      </c>
      <c r="L111" s="62">
        <f t="shared" si="51"/>
        <v>4196534.386141208</v>
      </c>
      <c r="M111" s="62">
        <f t="shared" si="51"/>
        <v>4145527.0512422831</v>
      </c>
      <c r="N111" s="62">
        <f t="shared" si="51"/>
        <v>4111786.4610931464</v>
      </c>
      <c r="Q111" s="648"/>
      <c r="R111" s="648"/>
      <c r="AA111" s="1094">
        <f>SUM(D111:I111)</f>
        <v>14774746.522823598</v>
      </c>
      <c r="AB111" s="1070">
        <f>SUM(D111:N111)</f>
        <v>35219842.899230294</v>
      </c>
      <c r="AC111" s="1094">
        <f t="shared" ref="AC111:AC113" si="52">+AA111-D111</f>
        <v>16818746.522823598</v>
      </c>
      <c r="AD111" s="1094">
        <f t="shared" ref="AD111:AD113" si="53">-D111</f>
        <v>2044000</v>
      </c>
      <c r="AE111" s="1110">
        <f t="shared" ref="AE111:AE113" si="54">+AC111/AD111</f>
        <v>8.2283495708530321</v>
      </c>
      <c r="AF111" s="1111">
        <f t="shared" ref="AF111:AF113" si="55">+AB111-D111</f>
        <v>37263842.899230294</v>
      </c>
      <c r="AG111" s="1110">
        <f t="shared" ref="AG111:AG113" si="56">AF111/AD111</f>
        <v>18.230842905689968</v>
      </c>
    </row>
    <row r="112" spans="1:33" ht="15" x14ac:dyDescent="0.3">
      <c r="A112" s="2007" t="s">
        <v>490</v>
      </c>
      <c r="B112" s="2007"/>
      <c r="C112" s="768">
        <f>+C107</f>
        <v>0.15</v>
      </c>
      <c r="D112" s="1061">
        <f>+$D$48</f>
        <v>-2044000</v>
      </c>
      <c r="E112" s="62">
        <f t="shared" si="51"/>
        <v>1761441.3273570386</v>
      </c>
      <c r="F112" s="62">
        <f t="shared" si="51"/>
        <v>3327414.3268207703</v>
      </c>
      <c r="G112" s="62">
        <f t="shared" si="51"/>
        <v>3243806.8174543707</v>
      </c>
      <c r="H112" s="62">
        <f t="shared" si="51"/>
        <v>3165650.0856976616</v>
      </c>
      <c r="I112" s="62">
        <f t="shared" si="51"/>
        <v>3084515.1340793963</v>
      </c>
      <c r="J112" s="62">
        <f t="shared" si="51"/>
        <v>2881961.5144538269</v>
      </c>
      <c r="K112" s="62">
        <f t="shared" si="51"/>
        <v>3097689.3450895804</v>
      </c>
      <c r="L112" s="62">
        <f t="shared" si="51"/>
        <v>2940692.0298222038</v>
      </c>
      <c r="M112" s="62">
        <f t="shared" si="51"/>
        <v>2778646.867403063</v>
      </c>
      <c r="N112" s="62">
        <f t="shared" si="51"/>
        <v>2636203.9124712753</v>
      </c>
      <c r="Q112" s="648"/>
      <c r="R112" s="648"/>
      <c r="AA112" s="1094">
        <f>SUM(D112:I112)</f>
        <v>12538827.691409238</v>
      </c>
      <c r="AB112" s="1070">
        <f>SUM(D112:N112)</f>
        <v>26874021.360649187</v>
      </c>
      <c r="AC112" s="1094">
        <f t="shared" si="52"/>
        <v>14582827.691409238</v>
      </c>
      <c r="AD112" s="1094">
        <f t="shared" si="53"/>
        <v>2044000</v>
      </c>
      <c r="AE112" s="1110">
        <f t="shared" si="54"/>
        <v>7.1344558177148913</v>
      </c>
      <c r="AF112" s="1111">
        <f t="shared" si="55"/>
        <v>28918021.360649187</v>
      </c>
      <c r="AG112" s="1110">
        <f t="shared" si="56"/>
        <v>14.147759961178663</v>
      </c>
    </row>
    <row r="113" spans="1:33" ht="15" x14ac:dyDescent="0.3">
      <c r="A113" s="2007" t="s">
        <v>490</v>
      </c>
      <c r="B113" s="2007"/>
      <c r="C113" s="768">
        <f>+C108</f>
        <v>0.2</v>
      </c>
      <c r="D113" s="1061">
        <f>+$D$48</f>
        <v>-2044000</v>
      </c>
      <c r="E113" s="62">
        <f t="shared" si="51"/>
        <v>1688047.938717162</v>
      </c>
      <c r="F113" s="62">
        <f t="shared" si="51"/>
        <v>3055906.5605697697</v>
      </c>
      <c r="G113" s="62">
        <f t="shared" si="51"/>
        <v>2854991.1420693947</v>
      </c>
      <c r="H113" s="62">
        <f t="shared" si="51"/>
        <v>2670110.8146210671</v>
      </c>
      <c r="I113" s="62">
        <f t="shared" si="51"/>
        <v>2493273.2465611813</v>
      </c>
      <c r="J113" s="62">
        <f t="shared" si="51"/>
        <v>2232480.8529196242</v>
      </c>
      <c r="K113" s="62">
        <f t="shared" si="51"/>
        <v>2299609.1186508094</v>
      </c>
      <c r="L113" s="62">
        <f t="shared" si="51"/>
        <v>2092099.322970371</v>
      </c>
      <c r="M113" s="62">
        <f t="shared" si="51"/>
        <v>1894448.0717412499</v>
      </c>
      <c r="N113" s="62">
        <f t="shared" si="51"/>
        <v>1722443.3347031518</v>
      </c>
      <c r="Q113" s="648"/>
      <c r="R113" s="648"/>
      <c r="AA113" s="1094">
        <f>SUM(D113:I113)</f>
        <v>10718329.702538574</v>
      </c>
      <c r="AB113" s="1070">
        <f>SUM(D113:N113)</f>
        <v>20959410.40352378</v>
      </c>
      <c r="AC113" s="1094">
        <f t="shared" si="52"/>
        <v>12762329.702538574</v>
      </c>
      <c r="AD113" s="1094">
        <f t="shared" si="53"/>
        <v>2044000</v>
      </c>
      <c r="AE113" s="1110">
        <f t="shared" si="54"/>
        <v>6.2438012243339402</v>
      </c>
      <c r="AF113" s="1111">
        <f t="shared" si="55"/>
        <v>23003410.40352378</v>
      </c>
      <c r="AG113" s="1110">
        <f t="shared" si="56"/>
        <v>11.254114678827682</v>
      </c>
    </row>
    <row r="114" spans="1:33" ht="15" x14ac:dyDescent="0.3">
      <c r="A114" s="1079"/>
      <c r="B114" s="1069"/>
      <c r="C114" s="1045"/>
      <c r="D114" s="1073"/>
      <c r="E114" s="1073"/>
      <c r="F114" s="1073"/>
      <c r="G114" s="1073"/>
      <c r="H114" s="1073"/>
      <c r="I114" s="1073"/>
      <c r="J114" s="1073"/>
      <c r="K114" s="1073"/>
      <c r="L114" s="1081"/>
      <c r="M114" s="1081"/>
      <c r="N114" s="1082"/>
      <c r="Q114" s="648"/>
      <c r="R114" s="648"/>
      <c r="AB114" s="648"/>
    </row>
    <row r="115" spans="1:33" ht="15" x14ac:dyDescent="0.3">
      <c r="A115" s="2007" t="s">
        <v>491</v>
      </c>
      <c r="B115" s="2007"/>
      <c r="C115" s="768">
        <f>+C110</f>
        <v>0.05</v>
      </c>
      <c r="D115" s="1061">
        <f>+$D$50</f>
        <v>-2194000</v>
      </c>
      <c r="E115" s="62">
        <f>E$50/(1+$C115)^E$98</f>
        <v>1929197.644248185</v>
      </c>
      <c r="F115" s="62">
        <f t="shared" ref="F115:N115" si="57">F$50/(1+$C115)^F$98</f>
        <v>3991388.1607441884</v>
      </c>
      <c r="G115" s="62">
        <f t="shared" si="57"/>
        <v>4261677.7397653935</v>
      </c>
      <c r="H115" s="62">
        <f t="shared" si="57"/>
        <v>4555091.1689662179</v>
      </c>
      <c r="I115" s="62">
        <f t="shared" si="57"/>
        <v>4861044.6684903177</v>
      </c>
      <c r="J115" s="62">
        <f t="shared" si="57"/>
        <v>4974385.3386578886</v>
      </c>
      <c r="K115" s="62">
        <f t="shared" si="57"/>
        <v>5855953.9239563458</v>
      </c>
      <c r="L115" s="62">
        <f t="shared" si="57"/>
        <v>6088606.0481407195</v>
      </c>
      <c r="M115" s="62">
        <f t="shared" si="57"/>
        <v>6301010.8613857366</v>
      </c>
      <c r="N115" s="62">
        <f t="shared" si="57"/>
        <v>6547332.7468092768</v>
      </c>
      <c r="Q115" s="648"/>
      <c r="R115" s="648"/>
      <c r="AA115" s="1094">
        <f>SUM(D115:I115)</f>
        <v>17404399.3822143</v>
      </c>
      <c r="AB115" s="1070">
        <f>SUM(D115:N115)</f>
        <v>47171688.301164269</v>
      </c>
      <c r="AC115" s="1094">
        <f>+AA115-D115</f>
        <v>19598399.3822143</v>
      </c>
      <c r="AD115" s="1094">
        <f>-D115</f>
        <v>2194000</v>
      </c>
      <c r="AE115" s="1110">
        <f>+AC115/AD115</f>
        <v>8.9327253337348687</v>
      </c>
      <c r="AF115" s="1111">
        <f>+AB115-D115</f>
        <v>49365688.301164269</v>
      </c>
      <c r="AG115" s="1110">
        <f>AF115/AD115</f>
        <v>22.500313719764936</v>
      </c>
    </row>
    <row r="116" spans="1:33" ht="15" x14ac:dyDescent="0.3">
      <c r="A116" s="2007" t="s">
        <v>491</v>
      </c>
      <c r="B116" s="2007"/>
      <c r="C116" s="768">
        <f>+C111</f>
        <v>0.1</v>
      </c>
      <c r="D116" s="1061">
        <f>+$D$50</f>
        <v>-2194000</v>
      </c>
      <c r="E116" s="62">
        <f t="shared" ref="E116:N118" si="58">E$50/(1+$C116)^E$98</f>
        <v>1841506.8422369037</v>
      </c>
      <c r="F116" s="62">
        <f t="shared" si="58"/>
        <v>3636781.3613392292</v>
      </c>
      <c r="G116" s="62">
        <f t="shared" si="58"/>
        <v>3706554.9913568092</v>
      </c>
      <c r="H116" s="62">
        <f t="shared" si="58"/>
        <v>3781669.1381724216</v>
      </c>
      <c r="I116" s="62">
        <f t="shared" si="58"/>
        <v>3852234.1897182357</v>
      </c>
      <c r="J116" s="62">
        <f t="shared" si="58"/>
        <v>3762869.0782447504</v>
      </c>
      <c r="K116" s="62">
        <f t="shared" si="58"/>
        <v>4228379.3996853083</v>
      </c>
      <c r="L116" s="62">
        <f t="shared" si="58"/>
        <v>4196534.386141208</v>
      </c>
      <c r="M116" s="62">
        <f t="shared" si="58"/>
        <v>4145527.0512422831</v>
      </c>
      <c r="N116" s="62">
        <f t="shared" si="58"/>
        <v>4111786.4610931464</v>
      </c>
      <c r="Q116" s="648"/>
      <c r="R116" s="648"/>
      <c r="AA116" s="1094">
        <f>SUM(D116:I116)</f>
        <v>14624746.522823598</v>
      </c>
      <c r="AB116" s="1070">
        <f>SUM(D116:N116)</f>
        <v>35069842.899230294</v>
      </c>
      <c r="AC116" s="1094">
        <f t="shared" ref="AC116:AC118" si="59">+AA116-D116</f>
        <v>16818746.522823598</v>
      </c>
      <c r="AD116" s="1094">
        <f t="shared" ref="AD116:AD118" si="60">-D116</f>
        <v>2194000</v>
      </c>
      <c r="AE116" s="1110">
        <f t="shared" ref="AE116:AE118" si="61">+AC116/AD116</f>
        <v>7.6657914871575201</v>
      </c>
      <c r="AF116" s="1111">
        <f t="shared" ref="AF116:AF118" si="62">+AB116-D116</f>
        <v>37263842.899230294</v>
      </c>
      <c r="AG116" s="1110">
        <f t="shared" ref="AG116:AG118" si="63">AF116/AD116</f>
        <v>16.984431585793207</v>
      </c>
    </row>
    <row r="117" spans="1:33" ht="15" x14ac:dyDescent="0.3">
      <c r="A117" s="2007" t="s">
        <v>491</v>
      </c>
      <c r="B117" s="2007"/>
      <c r="C117" s="768">
        <f>+C112</f>
        <v>0.15</v>
      </c>
      <c r="D117" s="1061">
        <f>+$D$50</f>
        <v>-2194000</v>
      </c>
      <c r="E117" s="62">
        <f t="shared" si="58"/>
        <v>1761441.3273570386</v>
      </c>
      <c r="F117" s="62">
        <f t="shared" si="58"/>
        <v>3327414.3268207703</v>
      </c>
      <c r="G117" s="62">
        <f t="shared" si="58"/>
        <v>3243806.8174543707</v>
      </c>
      <c r="H117" s="62">
        <f t="shared" si="58"/>
        <v>3165650.0856976616</v>
      </c>
      <c r="I117" s="62">
        <f t="shared" si="58"/>
        <v>3084515.1340793963</v>
      </c>
      <c r="J117" s="62">
        <f t="shared" si="58"/>
        <v>2881961.5144538269</v>
      </c>
      <c r="K117" s="62">
        <f t="shared" si="58"/>
        <v>3097689.3450895804</v>
      </c>
      <c r="L117" s="62">
        <f t="shared" si="58"/>
        <v>2940692.0298222038</v>
      </c>
      <c r="M117" s="62">
        <f t="shared" si="58"/>
        <v>2778646.867403063</v>
      </c>
      <c r="N117" s="62">
        <f t="shared" si="58"/>
        <v>2636203.9124712753</v>
      </c>
      <c r="Q117" s="648"/>
      <c r="R117" s="648"/>
      <c r="AA117" s="1094">
        <f>SUM(D117:I117)</f>
        <v>12388827.691409238</v>
      </c>
      <c r="AB117" s="1070">
        <f>SUM(D117:N117)</f>
        <v>26724021.360649187</v>
      </c>
      <c r="AC117" s="1094">
        <f t="shared" si="59"/>
        <v>14582827.691409238</v>
      </c>
      <c r="AD117" s="1094">
        <f t="shared" si="60"/>
        <v>2194000</v>
      </c>
      <c r="AE117" s="1110">
        <f t="shared" si="61"/>
        <v>6.6466853652731253</v>
      </c>
      <c r="AF117" s="1111">
        <f t="shared" si="62"/>
        <v>28918021.360649187</v>
      </c>
      <c r="AG117" s="1110">
        <f t="shared" si="63"/>
        <v>13.180501987533814</v>
      </c>
    </row>
    <row r="118" spans="1:33" ht="15" x14ac:dyDescent="0.3">
      <c r="A118" s="2007" t="s">
        <v>491</v>
      </c>
      <c r="B118" s="2007"/>
      <c r="C118" s="768">
        <f>+C113</f>
        <v>0.2</v>
      </c>
      <c r="D118" s="1061">
        <f>+$D$50</f>
        <v>-2194000</v>
      </c>
      <c r="E118" s="62">
        <f t="shared" si="58"/>
        <v>1688047.938717162</v>
      </c>
      <c r="F118" s="62">
        <f t="shared" si="58"/>
        <v>3055906.5605697697</v>
      </c>
      <c r="G118" s="62">
        <f t="shared" si="58"/>
        <v>2854991.1420693947</v>
      </c>
      <c r="H118" s="62">
        <f t="shared" si="58"/>
        <v>2670110.8146210671</v>
      </c>
      <c r="I118" s="62">
        <f t="shared" si="58"/>
        <v>2493273.2465611813</v>
      </c>
      <c r="J118" s="62">
        <f t="shared" si="58"/>
        <v>2232480.8529196242</v>
      </c>
      <c r="K118" s="62">
        <f t="shared" si="58"/>
        <v>2299609.1186508094</v>
      </c>
      <c r="L118" s="62">
        <f t="shared" si="58"/>
        <v>2092099.322970371</v>
      </c>
      <c r="M118" s="62">
        <f t="shared" si="58"/>
        <v>1894448.0717412499</v>
      </c>
      <c r="N118" s="62">
        <f t="shared" si="58"/>
        <v>1722443.3347031518</v>
      </c>
      <c r="Q118" s="648"/>
      <c r="R118" s="648"/>
      <c r="AA118" s="1094">
        <f>SUM(D118:I118)</f>
        <v>10568329.702538574</v>
      </c>
      <c r="AB118" s="1070">
        <f>SUM(D118:N118)</f>
        <v>20809410.40352378</v>
      </c>
      <c r="AC118" s="1094">
        <f t="shared" si="59"/>
        <v>12762329.702538574</v>
      </c>
      <c r="AD118" s="1094">
        <f t="shared" si="60"/>
        <v>2194000</v>
      </c>
      <c r="AE118" s="1110">
        <f t="shared" si="61"/>
        <v>5.8169232919501246</v>
      </c>
      <c r="AF118" s="1111">
        <f t="shared" si="62"/>
        <v>23003410.40352378</v>
      </c>
      <c r="AG118" s="1110">
        <f t="shared" si="63"/>
        <v>10.484690247731896</v>
      </c>
    </row>
    <row r="119" spans="1:33" ht="15" x14ac:dyDescent="0.3">
      <c r="A119" s="1093"/>
      <c r="B119" s="1093"/>
      <c r="C119" s="1045"/>
      <c r="D119" s="1073"/>
      <c r="E119" s="3"/>
      <c r="F119" s="3"/>
      <c r="G119" s="3"/>
      <c r="H119" s="3"/>
      <c r="I119" s="3"/>
      <c r="J119" s="3"/>
      <c r="K119" s="3"/>
      <c r="L119" s="3"/>
      <c r="M119" s="3"/>
      <c r="N119" s="3"/>
      <c r="Q119" s="648"/>
      <c r="R119" s="648"/>
      <c r="AA119" s="1070"/>
      <c r="AB119" s="648"/>
    </row>
    <row r="120" spans="1:33" ht="16.5" x14ac:dyDescent="0.3">
      <c r="A120" s="1994" t="s">
        <v>505</v>
      </c>
      <c r="B120" s="1994"/>
      <c r="C120" s="1994"/>
      <c r="D120" s="1994"/>
      <c r="E120" s="1994"/>
      <c r="F120" s="1994"/>
      <c r="G120" s="1994"/>
      <c r="H120" s="3"/>
      <c r="I120" s="3"/>
      <c r="J120" s="3"/>
      <c r="K120" s="3"/>
      <c r="L120" s="3"/>
      <c r="M120" s="3"/>
      <c r="N120" s="3"/>
      <c r="Q120" s="648"/>
      <c r="R120" s="648"/>
      <c r="AA120" s="1070"/>
      <c r="AB120" s="648"/>
    </row>
    <row r="121" spans="1:33" ht="15" x14ac:dyDescent="0.3">
      <c r="A121" s="1995" t="s">
        <v>136</v>
      </c>
      <c r="B121" s="1996"/>
      <c r="C121" s="1997"/>
      <c r="D121" s="2001" t="s">
        <v>486</v>
      </c>
      <c r="E121" s="2001"/>
      <c r="F121" s="2001" t="s">
        <v>478</v>
      </c>
      <c r="G121" s="2001"/>
      <c r="H121" s="3"/>
      <c r="I121" s="3"/>
      <c r="J121" s="3"/>
      <c r="K121" s="3"/>
      <c r="L121" s="3"/>
      <c r="M121" s="3"/>
      <c r="N121" s="3"/>
      <c r="Q121" s="648"/>
      <c r="R121" s="648"/>
      <c r="AA121" s="1070"/>
      <c r="AB121" s="648"/>
    </row>
    <row r="122" spans="1:33" ht="15" x14ac:dyDescent="0.3">
      <c r="A122" s="1998"/>
      <c r="B122" s="1999"/>
      <c r="C122" s="2000"/>
      <c r="D122" s="1089" t="s">
        <v>476</v>
      </c>
      <c r="E122" s="1089" t="s">
        <v>477</v>
      </c>
      <c r="F122" s="1089" t="s">
        <v>476</v>
      </c>
      <c r="G122" s="1089" t="s">
        <v>477</v>
      </c>
      <c r="H122" s="3"/>
      <c r="I122" s="3"/>
      <c r="J122" s="3"/>
      <c r="K122" s="3"/>
      <c r="L122" s="3"/>
      <c r="M122" s="3"/>
      <c r="N122" s="3"/>
      <c r="Q122" s="648"/>
      <c r="R122" s="648"/>
      <c r="AA122" s="1070"/>
      <c r="AB122" s="648"/>
    </row>
    <row r="123" spans="1:33" ht="15" x14ac:dyDescent="0.3">
      <c r="A123" s="1077" t="s">
        <v>511</v>
      </c>
      <c r="B123" s="1059"/>
      <c r="C123" s="30">
        <f>+C99</f>
        <v>0</v>
      </c>
      <c r="D123" s="965">
        <f>+AA42</f>
        <v>18106893.572340626</v>
      </c>
      <c r="E123" s="965">
        <f>+AA44</f>
        <v>17956893.572340626</v>
      </c>
      <c r="F123" s="965">
        <f>+AA48</f>
        <v>21056391.13725834</v>
      </c>
      <c r="G123" s="965">
        <f>+AA50</f>
        <v>20906391.13725834</v>
      </c>
      <c r="H123" s="3"/>
      <c r="I123" s="3"/>
      <c r="J123" s="3"/>
      <c r="K123" s="3"/>
      <c r="L123" s="3"/>
      <c r="M123" s="3"/>
      <c r="N123" s="3"/>
      <c r="Q123" s="648"/>
      <c r="R123" s="648"/>
      <c r="AA123" s="1070"/>
      <c r="AB123" s="648"/>
    </row>
    <row r="124" spans="1:33" ht="15" x14ac:dyDescent="0.3">
      <c r="A124" s="1077" t="s">
        <v>511</v>
      </c>
      <c r="B124" s="1059"/>
      <c r="C124" s="30">
        <f>+C100</f>
        <v>0.05</v>
      </c>
      <c r="D124" s="965">
        <f>+AA100</f>
        <v>14961101.182149373</v>
      </c>
      <c r="E124" s="965">
        <f>+AA105</f>
        <v>14811101.182149373</v>
      </c>
      <c r="F124" s="965">
        <f>+AA110</f>
        <v>17554399.3822143</v>
      </c>
      <c r="G124" s="965">
        <f>+AA115</f>
        <v>17404399.3822143</v>
      </c>
      <c r="H124" s="3"/>
      <c r="I124" s="3"/>
      <c r="J124" s="3"/>
      <c r="K124" s="3"/>
      <c r="L124" s="3"/>
      <c r="M124" s="3"/>
      <c r="N124" s="3"/>
      <c r="Q124" s="648"/>
      <c r="R124" s="648"/>
      <c r="AA124" s="1070"/>
      <c r="AB124" s="648"/>
    </row>
    <row r="125" spans="1:33" ht="15" x14ac:dyDescent="0.3">
      <c r="A125" s="1077" t="s">
        <v>511</v>
      </c>
      <c r="B125" s="1059"/>
      <c r="C125" s="30">
        <f>+C101</f>
        <v>0.1</v>
      </c>
      <c r="D125" s="965">
        <f>+AA101</f>
        <v>12479157.221811101</v>
      </c>
      <c r="E125" s="965">
        <f>+AA106</f>
        <v>12329157.221811101</v>
      </c>
      <c r="F125" s="965">
        <f>+AA111</f>
        <v>14774746.522823598</v>
      </c>
      <c r="G125" s="965">
        <f>+AA116</f>
        <v>14624746.522823598</v>
      </c>
      <c r="H125" s="3"/>
      <c r="I125" s="3"/>
      <c r="J125" s="3"/>
      <c r="K125" s="3"/>
      <c r="L125" s="3"/>
      <c r="M125" s="3"/>
      <c r="N125" s="3"/>
      <c r="Q125" s="648"/>
      <c r="R125" s="648"/>
      <c r="AA125" s="1070"/>
      <c r="AB125" s="648"/>
    </row>
    <row r="126" spans="1:33" ht="15" x14ac:dyDescent="0.3">
      <c r="A126" s="1077" t="s">
        <v>511</v>
      </c>
      <c r="B126" s="1059"/>
      <c r="C126" s="30">
        <f>+C102</f>
        <v>0.15</v>
      </c>
      <c r="D126" s="965">
        <f>+AA102</f>
        <v>10494647.85649983</v>
      </c>
      <c r="E126" s="965">
        <f>+AA107</f>
        <v>10344647.85649983</v>
      </c>
      <c r="F126" s="965">
        <f>+AA112</f>
        <v>12538827.691409238</v>
      </c>
      <c r="G126" s="965">
        <f>+AA117</f>
        <v>12388827.691409238</v>
      </c>
      <c r="H126" s="3"/>
      <c r="I126" s="3"/>
      <c r="J126" s="3"/>
      <c r="K126" s="3"/>
      <c r="L126" s="3"/>
      <c r="M126" s="3"/>
      <c r="N126" s="3"/>
      <c r="Q126" s="648"/>
      <c r="R126" s="648"/>
      <c r="AA126" s="1070"/>
      <c r="AB126" s="648"/>
    </row>
    <row r="127" spans="1:33" ht="15" x14ac:dyDescent="0.3">
      <c r="A127" s="1077" t="s">
        <v>511</v>
      </c>
      <c r="B127" s="1059"/>
      <c r="C127" s="30">
        <f>+C103</f>
        <v>0.2</v>
      </c>
      <c r="D127" s="965">
        <f>+AA103</f>
        <v>8888417.6590121221</v>
      </c>
      <c r="E127" s="965">
        <f>+AA108</f>
        <v>8738417.6590121221</v>
      </c>
      <c r="F127" s="965">
        <f>+AA113</f>
        <v>10718329.702538574</v>
      </c>
      <c r="G127" s="965">
        <f>+AA118</f>
        <v>10568329.702538574</v>
      </c>
      <c r="H127" s="3"/>
      <c r="I127" s="3"/>
      <c r="J127" s="3"/>
      <c r="K127" s="3"/>
      <c r="L127" s="3"/>
      <c r="M127" s="3"/>
      <c r="N127" s="3"/>
      <c r="Q127" s="648"/>
      <c r="R127" s="648"/>
      <c r="AA127" s="1070"/>
      <c r="AB127" s="648"/>
    </row>
    <row r="128" spans="1:33" ht="15" x14ac:dyDescent="0.3">
      <c r="A128" s="1093"/>
      <c r="B128" s="1093"/>
      <c r="C128" s="1045"/>
      <c r="D128" s="1073"/>
      <c r="E128" s="3"/>
      <c r="F128" s="3"/>
      <c r="G128" s="3"/>
      <c r="H128" s="3"/>
      <c r="I128" s="3"/>
      <c r="J128" s="3"/>
      <c r="K128" s="3"/>
      <c r="L128" s="3"/>
      <c r="M128" s="3"/>
      <c r="N128" s="3"/>
      <c r="Q128" s="648"/>
      <c r="R128" s="648"/>
      <c r="AA128" s="1070"/>
      <c r="AB128" s="648"/>
    </row>
    <row r="129" spans="1:28" ht="16.5" x14ac:dyDescent="0.3">
      <c r="A129" s="1994" t="s">
        <v>504</v>
      </c>
      <c r="B129" s="1994"/>
      <c r="C129" s="1994"/>
      <c r="D129" s="1994"/>
      <c r="E129" s="1994"/>
      <c r="F129" s="1994"/>
      <c r="G129" s="1994"/>
      <c r="H129" s="3"/>
      <c r="I129" s="3"/>
      <c r="J129" s="3"/>
      <c r="K129" s="3"/>
      <c r="L129" s="3"/>
      <c r="M129" s="3"/>
      <c r="N129" s="3"/>
      <c r="Q129" s="648"/>
      <c r="R129" s="648"/>
      <c r="AA129" s="1070"/>
      <c r="AB129" s="648"/>
    </row>
    <row r="130" spans="1:28" ht="15" x14ac:dyDescent="0.3">
      <c r="A130" s="1995" t="s">
        <v>136</v>
      </c>
      <c r="B130" s="1996"/>
      <c r="C130" s="1997"/>
      <c r="D130" s="2001" t="s">
        <v>486</v>
      </c>
      <c r="E130" s="2001"/>
      <c r="F130" s="2001" t="s">
        <v>478</v>
      </c>
      <c r="G130" s="2001"/>
      <c r="H130" s="3"/>
      <c r="I130" s="3"/>
      <c r="J130" s="3"/>
      <c r="K130" s="3"/>
      <c r="L130" s="3"/>
      <c r="M130" s="3"/>
      <c r="N130" s="3"/>
      <c r="Q130" s="648"/>
      <c r="R130" s="648"/>
      <c r="AA130" s="1070"/>
      <c r="AB130" s="648"/>
    </row>
    <row r="131" spans="1:28" ht="15" x14ac:dyDescent="0.3">
      <c r="A131" s="1998"/>
      <c r="B131" s="1999"/>
      <c r="C131" s="2000"/>
      <c r="D131" s="1089" t="s">
        <v>476</v>
      </c>
      <c r="E131" s="1089" t="s">
        <v>477</v>
      </c>
      <c r="F131" s="1089" t="s">
        <v>476</v>
      </c>
      <c r="G131" s="1089" t="s">
        <v>477</v>
      </c>
      <c r="H131" s="3"/>
      <c r="I131" s="3"/>
      <c r="J131" s="3"/>
      <c r="K131" s="3"/>
      <c r="L131" s="3"/>
      <c r="M131" s="3"/>
      <c r="N131" s="3"/>
      <c r="Q131" s="648"/>
      <c r="R131" s="648"/>
      <c r="AA131" s="1070"/>
      <c r="AB131" s="648"/>
    </row>
    <row r="132" spans="1:28" ht="15" x14ac:dyDescent="0.3">
      <c r="A132" s="1077" t="s">
        <v>511</v>
      </c>
      <c r="B132" s="1059"/>
      <c r="C132" s="30">
        <v>0</v>
      </c>
      <c r="D132" s="965">
        <f>+AB42</f>
        <v>62684756.228039727</v>
      </c>
      <c r="E132" s="965">
        <f>+AB44</f>
        <v>60490756.228039727</v>
      </c>
      <c r="F132" s="965">
        <f>+AB48</f>
        <v>65397953.706206113</v>
      </c>
      <c r="G132" s="965">
        <f>+AB50</f>
        <v>65247953.706206113</v>
      </c>
      <c r="H132" s="3"/>
      <c r="I132" s="3"/>
      <c r="J132" s="3"/>
      <c r="K132" s="3"/>
      <c r="L132" s="3"/>
      <c r="M132" s="3"/>
      <c r="N132" s="3"/>
      <c r="Q132" s="648"/>
      <c r="R132" s="648"/>
      <c r="AA132" s="1070"/>
      <c r="AB132" s="648"/>
    </row>
    <row r="133" spans="1:28" ht="15" x14ac:dyDescent="0.3">
      <c r="A133" s="1077" t="s">
        <v>511</v>
      </c>
      <c r="B133" s="1059"/>
      <c r="C133" s="30">
        <v>0.05</v>
      </c>
      <c r="D133" s="965">
        <f>+AB105</f>
        <v>43334481.882699467</v>
      </c>
      <c r="E133" s="965">
        <f>+AB110</f>
        <v>47321688.301164269</v>
      </c>
      <c r="F133" s="965">
        <f>+AB110</f>
        <v>47321688.301164269</v>
      </c>
      <c r="G133" s="965">
        <f>+AB115</f>
        <v>47171688.301164269</v>
      </c>
      <c r="H133" s="3"/>
      <c r="I133" s="3"/>
      <c r="J133" s="3"/>
      <c r="K133" s="3"/>
      <c r="L133" s="3"/>
      <c r="M133" s="3"/>
      <c r="N133" s="3"/>
      <c r="Q133" s="648"/>
      <c r="R133" s="648"/>
      <c r="AA133" s="1070"/>
      <c r="AB133" s="648"/>
    </row>
    <row r="134" spans="1:28" ht="15" x14ac:dyDescent="0.3">
      <c r="A134" s="1077" t="s">
        <v>511</v>
      </c>
      <c r="B134" s="1059"/>
      <c r="C134" s="30">
        <v>0.1</v>
      </c>
      <c r="D134" s="965">
        <f>+AB106</f>
        <v>31900473.384880092</v>
      </c>
      <c r="E134" s="965">
        <f>+AB111</f>
        <v>35219842.899230294</v>
      </c>
      <c r="F134" s="965">
        <f>+AB111</f>
        <v>35219842.899230294</v>
      </c>
      <c r="G134" s="965">
        <f>+AB116</f>
        <v>35069842.899230294</v>
      </c>
      <c r="H134" s="3"/>
      <c r="I134" s="3"/>
      <c r="J134" s="3"/>
      <c r="K134" s="3"/>
      <c r="L134" s="3"/>
      <c r="M134" s="3"/>
      <c r="N134" s="3"/>
      <c r="Q134" s="648"/>
      <c r="R134" s="648"/>
      <c r="AA134" s="1070"/>
      <c r="AB134" s="648"/>
    </row>
    <row r="135" spans="1:28" ht="15" x14ac:dyDescent="0.3">
      <c r="A135" s="1077" t="s">
        <v>511</v>
      </c>
      <c r="B135" s="1059"/>
      <c r="C135" s="30">
        <v>0.15</v>
      </c>
      <c r="D135" s="965">
        <f>+AB107</f>
        <v>24054655.052601635</v>
      </c>
      <c r="E135" s="965">
        <f>+AB112</f>
        <v>26874021.360649187</v>
      </c>
      <c r="F135" s="965">
        <f>+AB112</f>
        <v>26874021.360649187</v>
      </c>
      <c r="G135" s="965">
        <f>+AB117</f>
        <v>26724021.360649187</v>
      </c>
      <c r="H135" s="3"/>
      <c r="I135" s="3"/>
      <c r="J135" s="3"/>
      <c r="K135" s="3"/>
      <c r="L135" s="3"/>
      <c r="M135" s="3"/>
      <c r="N135" s="3"/>
      <c r="Q135" s="648"/>
      <c r="R135" s="648"/>
      <c r="AA135" s="1070"/>
      <c r="AB135" s="648"/>
    </row>
    <row r="136" spans="1:28" ht="15" x14ac:dyDescent="0.3">
      <c r="A136" s="1077" t="s">
        <v>511</v>
      </c>
      <c r="B136" s="1059"/>
      <c r="C136" s="30">
        <v>0.2</v>
      </c>
      <c r="D136" s="965">
        <f>+AB108</f>
        <v>18524725.541726485</v>
      </c>
      <c r="E136" s="965">
        <f>+AB113</f>
        <v>20959410.40352378</v>
      </c>
      <c r="F136" s="965">
        <f>+AB113</f>
        <v>20959410.40352378</v>
      </c>
      <c r="G136" s="965">
        <f>+AB118</f>
        <v>20809410.40352378</v>
      </c>
      <c r="H136" s="3"/>
      <c r="I136" s="3"/>
      <c r="J136" s="3"/>
      <c r="K136" s="3"/>
      <c r="L136" s="3"/>
      <c r="M136" s="3"/>
      <c r="N136" s="3"/>
      <c r="Q136" s="648"/>
      <c r="R136" s="648"/>
      <c r="AA136" s="1070"/>
      <c r="AB136" s="648"/>
    </row>
    <row r="137" spans="1:28" ht="15" x14ac:dyDescent="0.3">
      <c r="A137" s="1093"/>
      <c r="B137" s="1093"/>
      <c r="C137" s="1045"/>
      <c r="D137" s="1073"/>
      <c r="E137" s="3"/>
      <c r="F137" s="3"/>
      <c r="G137" s="3"/>
      <c r="H137" s="3"/>
      <c r="I137" s="3"/>
      <c r="J137" s="3"/>
      <c r="K137" s="3"/>
      <c r="L137" s="3"/>
      <c r="M137" s="3"/>
      <c r="N137" s="3"/>
      <c r="Q137" s="648"/>
      <c r="R137" s="648"/>
      <c r="AA137" s="1070"/>
      <c r="AB137" s="648"/>
    </row>
    <row r="138" spans="1:28" ht="15" x14ac:dyDescent="0.3">
      <c r="A138"/>
      <c r="B138" s="1045"/>
      <c r="C138" s="1045"/>
      <c r="D138" s="1045"/>
      <c r="E138" s="1045"/>
      <c r="F138" s="1045"/>
      <c r="G138" s="1045"/>
      <c r="H138" s="1045"/>
      <c r="I138" s="1045"/>
      <c r="J138" s="1045"/>
      <c r="K138" s="1045"/>
      <c r="L138"/>
      <c r="M138"/>
      <c r="N138" s="648"/>
      <c r="Q138" s="648"/>
      <c r="R138" s="648"/>
      <c r="AA138" s="648"/>
      <c r="AB138" s="648"/>
    </row>
    <row r="139" spans="1:28" ht="20.25" customHeight="1" x14ac:dyDescent="0.2">
      <c r="A139" s="1994" t="s">
        <v>493</v>
      </c>
      <c r="B139" s="1994"/>
      <c r="C139" s="1994"/>
      <c r="D139" s="1994"/>
      <c r="E139" s="1994"/>
      <c r="F139" s="1994"/>
      <c r="G139" s="1994"/>
      <c r="H139" s="1994"/>
      <c r="I139" s="1994"/>
      <c r="J139" s="1994"/>
      <c r="K139" s="1994"/>
      <c r="L139" s="1994"/>
      <c r="M139" s="1994"/>
      <c r="N139" s="1994"/>
      <c r="Q139" s="648"/>
      <c r="R139" s="648"/>
      <c r="AA139" s="648"/>
      <c r="AB139" s="648"/>
    </row>
    <row r="140" spans="1:28" ht="16.5" x14ac:dyDescent="0.2">
      <c r="A140" s="2003" t="s">
        <v>377</v>
      </c>
      <c r="B140" s="2004"/>
      <c r="C140" s="1067"/>
      <c r="D140" s="1411" t="s">
        <v>161</v>
      </c>
      <c r="E140" s="1411">
        <v>1</v>
      </c>
      <c r="F140" s="1411">
        <v>2</v>
      </c>
      <c r="G140" s="1411">
        <v>3</v>
      </c>
      <c r="H140" s="1411">
        <v>4</v>
      </c>
      <c r="I140" s="1411">
        <v>5</v>
      </c>
      <c r="J140" s="1411">
        <v>6</v>
      </c>
      <c r="K140" s="1411">
        <v>7</v>
      </c>
      <c r="L140" s="1411">
        <v>8</v>
      </c>
      <c r="M140" s="1412">
        <v>9</v>
      </c>
      <c r="N140" s="1412">
        <v>10</v>
      </c>
      <c r="Q140" s="648"/>
      <c r="R140" s="648"/>
      <c r="AA140" s="648"/>
      <c r="AB140" s="648"/>
    </row>
    <row r="141" spans="1:28" ht="16.5" x14ac:dyDescent="0.2">
      <c r="A141" s="1479"/>
      <c r="B141" s="1480"/>
      <c r="C141" s="1034"/>
      <c r="D141" s="1411">
        <f>+'17 Hoja de Trabajo'!$D$2</f>
        <v>2017</v>
      </c>
      <c r="E141" s="1411">
        <f>+D141</f>
        <v>2017</v>
      </c>
      <c r="F141" s="1411">
        <f>+E141+1</f>
        <v>2018</v>
      </c>
      <c r="G141" s="1411">
        <f t="shared" ref="G141:N141" si="64">+F141+1</f>
        <v>2019</v>
      </c>
      <c r="H141" s="1411">
        <f t="shared" si="64"/>
        <v>2020</v>
      </c>
      <c r="I141" s="1411">
        <f t="shared" si="64"/>
        <v>2021</v>
      </c>
      <c r="J141" s="1411">
        <f t="shared" si="64"/>
        <v>2022</v>
      </c>
      <c r="K141" s="1411">
        <f t="shared" si="64"/>
        <v>2023</v>
      </c>
      <c r="L141" s="1411">
        <f t="shared" si="64"/>
        <v>2024</v>
      </c>
      <c r="M141" s="1411">
        <f t="shared" si="64"/>
        <v>2025</v>
      </c>
      <c r="N141" s="1411">
        <f t="shared" si="64"/>
        <v>2026</v>
      </c>
      <c r="Q141" s="648"/>
      <c r="R141" s="648"/>
      <c r="AA141" s="648"/>
      <c r="AB141" s="648"/>
    </row>
    <row r="142" spans="1:28" ht="15" x14ac:dyDescent="0.3">
      <c r="A142" s="2007" t="s">
        <v>487</v>
      </c>
      <c r="B142" s="2007"/>
      <c r="C142" s="1078">
        <v>0.05</v>
      </c>
      <c r="D142" s="62">
        <f>+D100</f>
        <v>-2044000</v>
      </c>
      <c r="E142" s="62">
        <f>+E100+D142</f>
        <v>497750.48441558378</v>
      </c>
      <c r="F142" s="62">
        <f t="shared" ref="F142:N142" si="65">+F100+E142</f>
        <v>1731821.6070326741</v>
      </c>
      <c r="G142" s="62">
        <f t="shared" si="65"/>
        <v>5922339.9235301306</v>
      </c>
      <c r="H142" s="62">
        <f t="shared" si="65"/>
        <v>10291893.059624368</v>
      </c>
      <c r="I142" s="62">
        <f t="shared" si="65"/>
        <v>14961101.182149373</v>
      </c>
      <c r="J142" s="62">
        <f t="shared" si="65"/>
        <v>19911440.724911131</v>
      </c>
      <c r="K142" s="62">
        <f t="shared" si="65"/>
        <v>24888180.290509626</v>
      </c>
      <c r="L142" s="62">
        <f t="shared" si="65"/>
        <v>30825346.792572953</v>
      </c>
      <c r="M142" s="62">
        <f t="shared" si="65"/>
        <v>37208705.560701594</v>
      </c>
      <c r="N142" s="62">
        <f t="shared" si="65"/>
        <v>43484481.882699467</v>
      </c>
      <c r="Q142" s="648"/>
      <c r="R142" s="648"/>
      <c r="AA142" s="648"/>
      <c r="AB142" s="648"/>
    </row>
    <row r="143" spans="1:28" ht="15" x14ac:dyDescent="0.3">
      <c r="A143" s="2007" t="s">
        <v>487</v>
      </c>
      <c r="B143" s="2007"/>
      <c r="C143" s="1078">
        <v>0.1</v>
      </c>
      <c r="D143" s="62">
        <f>+D101</f>
        <v>-2044000</v>
      </c>
      <c r="E143" s="62">
        <f t="shared" ref="E143:N143" si="66">+E101+D143</f>
        <v>382216.37148760259</v>
      </c>
      <c r="F143" s="62">
        <f t="shared" si="66"/>
        <v>1506648.9439548273</v>
      </c>
      <c r="G143" s="62">
        <f t="shared" si="66"/>
        <v>5151313.6818476655</v>
      </c>
      <c r="H143" s="62">
        <f t="shared" si="66"/>
        <v>8778947.8233883008</v>
      </c>
      <c r="I143" s="62">
        <f t="shared" si="66"/>
        <v>12479157.221811101</v>
      </c>
      <c r="J143" s="62">
        <f t="shared" si="66"/>
        <v>16223836.880523719</v>
      </c>
      <c r="K143" s="62">
        <f t="shared" si="66"/>
        <v>19817366.360099651</v>
      </c>
      <c r="L143" s="62">
        <f t="shared" si="66"/>
        <v>23909521.967664856</v>
      </c>
      <c r="M143" s="62">
        <f t="shared" si="66"/>
        <v>28109226.909173593</v>
      </c>
      <c r="N143" s="62">
        <f t="shared" si="66"/>
        <v>32050473.384880092</v>
      </c>
      <c r="Q143" s="648"/>
      <c r="R143" s="648"/>
      <c r="AA143" s="648"/>
      <c r="AB143" s="648"/>
    </row>
    <row r="144" spans="1:28" ht="15" x14ac:dyDescent="0.3">
      <c r="A144" s="2007" t="s">
        <v>487</v>
      </c>
      <c r="B144" s="2007"/>
      <c r="C144" s="1078">
        <v>0.15</v>
      </c>
      <c r="D144" s="62">
        <f>+D102</f>
        <v>-2044000</v>
      </c>
      <c r="E144" s="62">
        <f t="shared" ref="E144:N144" si="67">+E102+D144</f>
        <v>276728.703162055</v>
      </c>
      <c r="F144" s="62">
        <f t="shared" si="67"/>
        <v>1305510.1116197808</v>
      </c>
      <c r="G144" s="62">
        <f t="shared" si="67"/>
        <v>4495153.4196729539</v>
      </c>
      <c r="H144" s="62">
        <f t="shared" si="67"/>
        <v>7531860.2048143148</v>
      </c>
      <c r="I144" s="62">
        <f t="shared" si="67"/>
        <v>10494647.85649983</v>
      </c>
      <c r="J144" s="62">
        <f t="shared" si="67"/>
        <v>13362678.190789847</v>
      </c>
      <c r="K144" s="62">
        <f t="shared" si="67"/>
        <v>15995279.697876966</v>
      </c>
      <c r="L144" s="62">
        <f t="shared" si="67"/>
        <v>18862829.030893277</v>
      </c>
      <c r="M144" s="62">
        <f t="shared" si="67"/>
        <v>21677790.032352295</v>
      </c>
      <c r="N144" s="62">
        <f t="shared" si="67"/>
        <v>24204655.052601635</v>
      </c>
      <c r="Q144" s="648"/>
      <c r="R144" s="648"/>
      <c r="AA144" s="648"/>
      <c r="AB144" s="648"/>
    </row>
    <row r="145" spans="1:28" ht="15" x14ac:dyDescent="0.3">
      <c r="A145" s="2007" t="s">
        <v>487</v>
      </c>
      <c r="B145" s="2007"/>
      <c r="C145" s="1078">
        <v>0.2</v>
      </c>
      <c r="D145" s="62">
        <f>+D103</f>
        <v>-2044000</v>
      </c>
      <c r="E145" s="62">
        <f t="shared" ref="E145:N145" si="68">+E103+D145</f>
        <v>180031.67386363586</v>
      </c>
      <c r="F145" s="62">
        <f t="shared" si="68"/>
        <v>1124867.3771173456</v>
      </c>
      <c r="G145" s="62">
        <f t="shared" si="68"/>
        <v>3932187.2649271651</v>
      </c>
      <c r="H145" s="62">
        <f t="shared" si="68"/>
        <v>6493539.0910409987</v>
      </c>
      <c r="I145" s="62">
        <f t="shared" si="68"/>
        <v>8888417.6590121221</v>
      </c>
      <c r="J145" s="62">
        <f t="shared" si="68"/>
        <v>11110106.871301467</v>
      </c>
      <c r="K145" s="62">
        <f t="shared" si="68"/>
        <v>13064452.112882279</v>
      </c>
      <c r="L145" s="62">
        <f t="shared" si="68"/>
        <v>15104515.457614873</v>
      </c>
      <c r="M145" s="62">
        <f t="shared" si="68"/>
        <v>17023722.06994158</v>
      </c>
      <c r="N145" s="62">
        <f t="shared" si="68"/>
        <v>18674725.541726485</v>
      </c>
      <c r="Q145" s="648"/>
      <c r="R145" s="648"/>
      <c r="AA145" s="648"/>
      <c r="AB145" s="648"/>
    </row>
    <row r="146" spans="1:28" ht="15" x14ac:dyDescent="0.3">
      <c r="A146" s="1079"/>
      <c r="B146" s="1069"/>
      <c r="C146" s="1045"/>
      <c r="D146" s="1045"/>
      <c r="E146" s="1045"/>
      <c r="F146" s="1045"/>
      <c r="G146" s="1045"/>
      <c r="H146" s="1045"/>
      <c r="I146" s="1045"/>
      <c r="J146" s="1045"/>
      <c r="K146" s="1045"/>
      <c r="L146" s="6"/>
      <c r="M146" s="6"/>
      <c r="N146" s="1080"/>
      <c r="Q146" s="648"/>
      <c r="R146" s="648"/>
      <c r="AA146" s="648"/>
      <c r="AB146" s="648"/>
    </row>
    <row r="147" spans="1:28" ht="15" x14ac:dyDescent="0.3">
      <c r="A147" s="2007" t="s">
        <v>489</v>
      </c>
      <c r="B147" s="2007"/>
      <c r="C147" s="768">
        <f>+C142</f>
        <v>0.05</v>
      </c>
      <c r="D147" s="62">
        <f>+D105</f>
        <v>-2194000</v>
      </c>
      <c r="E147" s="62">
        <f>+E105+D147</f>
        <v>347750.48441558378</v>
      </c>
      <c r="F147" s="62">
        <f t="shared" ref="F147:N147" si="69">+F105+E147</f>
        <v>1581821.6070326741</v>
      </c>
      <c r="G147" s="62">
        <f t="shared" si="69"/>
        <v>5772339.9235301306</v>
      </c>
      <c r="H147" s="62">
        <f t="shared" si="69"/>
        <v>10141893.059624368</v>
      </c>
      <c r="I147" s="62">
        <f t="shared" si="69"/>
        <v>14811101.182149373</v>
      </c>
      <c r="J147" s="62">
        <f t="shared" si="69"/>
        <v>19761440.724911131</v>
      </c>
      <c r="K147" s="62">
        <f t="shared" si="69"/>
        <v>24738180.290509626</v>
      </c>
      <c r="L147" s="62">
        <f t="shared" si="69"/>
        <v>30675346.792572953</v>
      </c>
      <c r="M147" s="62">
        <f t="shared" si="69"/>
        <v>37058705.560701594</v>
      </c>
      <c r="N147" s="62">
        <f t="shared" si="69"/>
        <v>43334481.882699467</v>
      </c>
      <c r="Q147" s="648"/>
      <c r="R147" s="648"/>
      <c r="AA147" s="648"/>
      <c r="AB147" s="648"/>
    </row>
    <row r="148" spans="1:28" ht="15" x14ac:dyDescent="0.3">
      <c r="A148" s="2007" t="s">
        <v>489</v>
      </c>
      <c r="B148" s="2007"/>
      <c r="C148" s="768">
        <f>+C143</f>
        <v>0.1</v>
      </c>
      <c r="D148" s="62">
        <f>+D106</f>
        <v>-2194000</v>
      </c>
      <c r="E148" s="62">
        <f t="shared" ref="E148:N148" si="70">+E106+D148</f>
        <v>232216.37148760259</v>
      </c>
      <c r="F148" s="62">
        <f t="shared" si="70"/>
        <v>1356648.9439548273</v>
      </c>
      <c r="G148" s="62">
        <f t="shared" si="70"/>
        <v>5001313.6818476655</v>
      </c>
      <c r="H148" s="62">
        <f t="shared" si="70"/>
        <v>8628947.8233883008</v>
      </c>
      <c r="I148" s="62">
        <f t="shared" si="70"/>
        <v>12329157.221811101</v>
      </c>
      <c r="J148" s="62">
        <f t="shared" si="70"/>
        <v>16073836.880523719</v>
      </c>
      <c r="K148" s="62">
        <f t="shared" si="70"/>
        <v>19667366.360099651</v>
      </c>
      <c r="L148" s="62">
        <f t="shared" si="70"/>
        <v>23759521.967664856</v>
      </c>
      <c r="M148" s="62">
        <f t="shared" si="70"/>
        <v>27959226.909173593</v>
      </c>
      <c r="N148" s="62">
        <f t="shared" si="70"/>
        <v>31900473.384880092</v>
      </c>
      <c r="Q148" s="648"/>
      <c r="R148" s="648"/>
      <c r="AA148" s="648"/>
      <c r="AB148" s="648"/>
    </row>
    <row r="149" spans="1:28" ht="15" x14ac:dyDescent="0.3">
      <c r="A149" s="2007" t="s">
        <v>489</v>
      </c>
      <c r="B149" s="2007"/>
      <c r="C149" s="768">
        <f>+C144</f>
        <v>0.15</v>
      </c>
      <c r="D149" s="62">
        <f>+D107</f>
        <v>-2194000</v>
      </c>
      <c r="E149" s="62">
        <f t="shared" ref="E149:N149" si="71">+E107+D149</f>
        <v>126728.703162055</v>
      </c>
      <c r="F149" s="62">
        <f t="shared" si="71"/>
        <v>1155510.1116197808</v>
      </c>
      <c r="G149" s="62">
        <f t="shared" si="71"/>
        <v>4345153.4196729539</v>
      </c>
      <c r="H149" s="62">
        <f t="shared" si="71"/>
        <v>7381860.2048143148</v>
      </c>
      <c r="I149" s="62">
        <f t="shared" si="71"/>
        <v>10344647.85649983</v>
      </c>
      <c r="J149" s="62">
        <f t="shared" si="71"/>
        <v>13212678.190789847</v>
      </c>
      <c r="K149" s="62">
        <f t="shared" si="71"/>
        <v>15845279.697876966</v>
      </c>
      <c r="L149" s="62">
        <f t="shared" si="71"/>
        <v>18712829.030893277</v>
      </c>
      <c r="M149" s="62">
        <f t="shared" si="71"/>
        <v>21527790.032352295</v>
      </c>
      <c r="N149" s="62">
        <f t="shared" si="71"/>
        <v>24054655.052601635</v>
      </c>
      <c r="Q149" s="648"/>
      <c r="R149" s="648"/>
      <c r="AA149" s="648"/>
      <c r="AB149" s="648"/>
    </row>
    <row r="150" spans="1:28" ht="15" x14ac:dyDescent="0.3">
      <c r="A150" s="2007" t="s">
        <v>489</v>
      </c>
      <c r="B150" s="2007"/>
      <c r="C150" s="768">
        <f>+C145</f>
        <v>0.2</v>
      </c>
      <c r="D150" s="62">
        <f>+D108</f>
        <v>-2194000</v>
      </c>
      <c r="E150" s="62">
        <f t="shared" ref="E150:N150" si="72">+E108+D150</f>
        <v>30031.673863635864</v>
      </c>
      <c r="F150" s="62">
        <f t="shared" si="72"/>
        <v>974867.37711734569</v>
      </c>
      <c r="G150" s="62">
        <f t="shared" si="72"/>
        <v>3782187.2649271651</v>
      </c>
      <c r="H150" s="62">
        <f t="shared" si="72"/>
        <v>6343539.0910409987</v>
      </c>
      <c r="I150" s="62">
        <f t="shared" si="72"/>
        <v>8738417.6590121221</v>
      </c>
      <c r="J150" s="62">
        <f t="shared" si="72"/>
        <v>10960106.871301467</v>
      </c>
      <c r="K150" s="62">
        <f t="shared" si="72"/>
        <v>12914452.112882279</v>
      </c>
      <c r="L150" s="62">
        <f t="shared" si="72"/>
        <v>14954515.457614873</v>
      </c>
      <c r="M150" s="62">
        <f t="shared" si="72"/>
        <v>16873722.06994158</v>
      </c>
      <c r="N150" s="62">
        <f t="shared" si="72"/>
        <v>18524725.541726485</v>
      </c>
      <c r="Q150" s="648"/>
      <c r="R150" s="648"/>
      <c r="AA150" s="648"/>
      <c r="AB150" s="648"/>
    </row>
    <row r="151" spans="1:28" ht="15" x14ac:dyDescent="0.3">
      <c r="A151" s="1079"/>
      <c r="B151" s="1069"/>
      <c r="C151" s="1045"/>
      <c r="D151" s="1073"/>
      <c r="E151" s="1073"/>
      <c r="F151" s="1073"/>
      <c r="G151" s="1073"/>
      <c r="H151" s="1073"/>
      <c r="I151" s="1073"/>
      <c r="J151" s="1073"/>
      <c r="K151" s="1073"/>
      <c r="L151" s="1081"/>
      <c r="M151" s="1081"/>
      <c r="N151" s="1082"/>
      <c r="Q151" s="648"/>
      <c r="R151" s="648"/>
      <c r="AA151" s="648"/>
      <c r="AB151" s="648"/>
    </row>
    <row r="152" spans="1:28" ht="15" x14ac:dyDescent="0.3">
      <c r="A152" s="2007" t="s">
        <v>490</v>
      </c>
      <c r="B152" s="2007"/>
      <c r="C152" s="768">
        <v>0</v>
      </c>
      <c r="D152" s="62">
        <f>+D110</f>
        <v>-2044000</v>
      </c>
      <c r="E152" s="62">
        <f t="shared" ref="E152:N152" si="73">+E110+D152</f>
        <v>-114802.35575181502</v>
      </c>
      <c r="F152" s="62">
        <f t="shared" si="73"/>
        <v>3876585.8049923731</v>
      </c>
      <c r="G152" s="62">
        <f t="shared" si="73"/>
        <v>8138263.5447577666</v>
      </c>
      <c r="H152" s="62">
        <f t="shared" si="73"/>
        <v>12693354.713723984</v>
      </c>
      <c r="I152" s="62">
        <f t="shared" si="73"/>
        <v>17554399.3822143</v>
      </c>
      <c r="J152" s="62">
        <f t="shared" si="73"/>
        <v>22528784.72087219</v>
      </c>
      <c r="K152" s="62">
        <f t="shared" si="73"/>
        <v>28384738.644828536</v>
      </c>
      <c r="L152" s="62">
        <f t="shared" si="73"/>
        <v>34473344.692969255</v>
      </c>
      <c r="M152" s="62">
        <f t="shared" si="73"/>
        <v>40774355.554354995</v>
      </c>
      <c r="N152" s="62">
        <f t="shared" si="73"/>
        <v>47321688.301164269</v>
      </c>
      <c r="Q152" s="648"/>
      <c r="R152" s="648"/>
      <c r="AA152" s="648"/>
      <c r="AB152" s="648"/>
    </row>
    <row r="153" spans="1:28" ht="15" x14ac:dyDescent="0.3">
      <c r="A153" s="2007" t="s">
        <v>490</v>
      </c>
      <c r="B153" s="2007"/>
      <c r="C153" s="768">
        <f>+C148</f>
        <v>0.1</v>
      </c>
      <c r="D153" s="62">
        <f>+D111</f>
        <v>-2044000</v>
      </c>
      <c r="E153" s="62">
        <f t="shared" ref="E153:N153" si="74">+E111+D153</f>
        <v>-202493.15776309627</v>
      </c>
      <c r="F153" s="62">
        <f t="shared" si="74"/>
        <v>3434288.2035761327</v>
      </c>
      <c r="G153" s="62">
        <f t="shared" si="74"/>
        <v>7140843.1949329413</v>
      </c>
      <c r="H153" s="62">
        <f t="shared" si="74"/>
        <v>10922512.333105363</v>
      </c>
      <c r="I153" s="62">
        <f t="shared" si="74"/>
        <v>14774746.522823598</v>
      </c>
      <c r="J153" s="62">
        <f t="shared" si="74"/>
        <v>18537615.601068348</v>
      </c>
      <c r="K153" s="62">
        <f t="shared" si="74"/>
        <v>22765995.000753656</v>
      </c>
      <c r="L153" s="62">
        <f t="shared" si="74"/>
        <v>26962529.386894863</v>
      </c>
      <c r="M153" s="62">
        <f t="shared" si="74"/>
        <v>31108056.438137148</v>
      </c>
      <c r="N153" s="62">
        <f t="shared" si="74"/>
        <v>35219842.899230294</v>
      </c>
      <c r="Q153" s="648"/>
      <c r="R153" s="648"/>
      <c r="AA153" s="648"/>
      <c r="AB153" s="648"/>
    </row>
    <row r="154" spans="1:28" ht="15" x14ac:dyDescent="0.3">
      <c r="A154" s="2007" t="s">
        <v>490</v>
      </c>
      <c r="B154" s="2007"/>
      <c r="C154" s="768">
        <f>+C149</f>
        <v>0.15</v>
      </c>
      <c r="D154" s="62">
        <f>+D112</f>
        <v>-2044000</v>
      </c>
      <c r="E154" s="62">
        <f t="shared" ref="E154:N154" si="75">+E112+D154</f>
        <v>-282558.67264296138</v>
      </c>
      <c r="F154" s="62">
        <f t="shared" si="75"/>
        <v>3044855.6541778091</v>
      </c>
      <c r="G154" s="62">
        <f t="shared" si="75"/>
        <v>6288662.4716321798</v>
      </c>
      <c r="H154" s="62">
        <f t="shared" si="75"/>
        <v>9454312.557329841</v>
      </c>
      <c r="I154" s="62">
        <f t="shared" si="75"/>
        <v>12538827.691409238</v>
      </c>
      <c r="J154" s="62">
        <f t="shared" si="75"/>
        <v>15420789.205863064</v>
      </c>
      <c r="K154" s="62">
        <f t="shared" si="75"/>
        <v>18518478.550952643</v>
      </c>
      <c r="L154" s="62">
        <f t="shared" si="75"/>
        <v>21459170.580774847</v>
      </c>
      <c r="M154" s="62">
        <f t="shared" si="75"/>
        <v>24237817.448177911</v>
      </c>
      <c r="N154" s="62">
        <f t="shared" si="75"/>
        <v>26874021.360649187</v>
      </c>
      <c r="Q154" s="648"/>
      <c r="R154" s="648"/>
      <c r="AA154" s="648"/>
      <c r="AB154" s="648"/>
    </row>
    <row r="155" spans="1:28" ht="15" x14ac:dyDescent="0.3">
      <c r="A155" s="2007" t="s">
        <v>490</v>
      </c>
      <c r="B155" s="2007"/>
      <c r="C155" s="768">
        <f>+C150</f>
        <v>0.2</v>
      </c>
      <c r="D155" s="62">
        <f>+D113</f>
        <v>-2044000</v>
      </c>
      <c r="E155" s="62">
        <f t="shared" ref="E155:N155" si="76">+E113+D155</f>
        <v>-355952.061282838</v>
      </c>
      <c r="F155" s="62">
        <f t="shared" si="76"/>
        <v>2699954.4992869319</v>
      </c>
      <c r="G155" s="62">
        <f t="shared" si="76"/>
        <v>5554945.6413563266</v>
      </c>
      <c r="H155" s="62">
        <f t="shared" si="76"/>
        <v>8225056.4559773933</v>
      </c>
      <c r="I155" s="62">
        <f t="shared" si="76"/>
        <v>10718329.702538574</v>
      </c>
      <c r="J155" s="62">
        <f t="shared" si="76"/>
        <v>12950810.555458199</v>
      </c>
      <c r="K155" s="62">
        <f t="shared" si="76"/>
        <v>15250419.674109008</v>
      </c>
      <c r="L155" s="62">
        <f t="shared" si="76"/>
        <v>17342518.99707938</v>
      </c>
      <c r="M155" s="62">
        <f t="shared" si="76"/>
        <v>19236967.068820629</v>
      </c>
      <c r="N155" s="62">
        <f t="shared" si="76"/>
        <v>20959410.40352378</v>
      </c>
      <c r="Q155" s="648"/>
      <c r="R155" s="648"/>
      <c r="AA155" s="648"/>
      <c r="AB155" s="648"/>
    </row>
    <row r="156" spans="1:28" ht="15" x14ac:dyDescent="0.3">
      <c r="A156" s="1079"/>
      <c r="B156" s="1069"/>
      <c r="C156" s="1045"/>
      <c r="D156" s="1073"/>
      <c r="E156" s="1073"/>
      <c r="F156" s="1073"/>
      <c r="G156" s="1073"/>
      <c r="H156" s="1073"/>
      <c r="I156" s="1073"/>
      <c r="J156" s="1073"/>
      <c r="K156" s="1073"/>
      <c r="L156" s="1081"/>
      <c r="M156" s="1081"/>
      <c r="N156" s="1082"/>
      <c r="Q156" s="648"/>
      <c r="R156" s="648"/>
      <c r="AA156" s="648"/>
      <c r="AB156" s="648"/>
    </row>
    <row r="157" spans="1:28" ht="15" x14ac:dyDescent="0.3">
      <c r="A157" s="2007" t="s">
        <v>491</v>
      </c>
      <c r="B157" s="2007"/>
      <c r="C157" s="768">
        <f>+C152</f>
        <v>0</v>
      </c>
      <c r="D157" s="62">
        <f>+D115</f>
        <v>-2194000</v>
      </c>
      <c r="E157" s="62">
        <f t="shared" ref="E157:N157" si="77">+E115+D157</f>
        <v>-264802.35575181502</v>
      </c>
      <c r="F157" s="62">
        <f t="shared" si="77"/>
        <v>3726585.8049923731</v>
      </c>
      <c r="G157" s="62">
        <f t="shared" si="77"/>
        <v>7988263.5447577666</v>
      </c>
      <c r="H157" s="62">
        <f t="shared" si="77"/>
        <v>12543354.713723984</v>
      </c>
      <c r="I157" s="62">
        <f t="shared" si="77"/>
        <v>17404399.3822143</v>
      </c>
      <c r="J157" s="62">
        <f t="shared" si="77"/>
        <v>22378784.72087219</v>
      </c>
      <c r="K157" s="62">
        <f t="shared" si="77"/>
        <v>28234738.644828536</v>
      </c>
      <c r="L157" s="62">
        <f t="shared" si="77"/>
        <v>34323344.692969255</v>
      </c>
      <c r="M157" s="62">
        <f t="shared" si="77"/>
        <v>40624355.554354995</v>
      </c>
      <c r="N157" s="62">
        <f t="shared" si="77"/>
        <v>47171688.301164269</v>
      </c>
      <c r="Q157" s="648"/>
      <c r="R157" s="648"/>
      <c r="AA157" s="648"/>
      <c r="AB157" s="648"/>
    </row>
    <row r="158" spans="1:28" ht="15" x14ac:dyDescent="0.3">
      <c r="A158" s="2007" t="s">
        <v>491</v>
      </c>
      <c r="B158" s="2007"/>
      <c r="C158" s="768">
        <f>+C153</f>
        <v>0.1</v>
      </c>
      <c r="D158" s="62">
        <f>+D116</f>
        <v>-2194000</v>
      </c>
      <c r="E158" s="62">
        <f t="shared" ref="E158:N158" si="78">+E116+D158</f>
        <v>-352493.15776309627</v>
      </c>
      <c r="F158" s="62">
        <f t="shared" si="78"/>
        <v>3284288.2035761327</v>
      </c>
      <c r="G158" s="62">
        <f t="shared" si="78"/>
        <v>6990843.1949329413</v>
      </c>
      <c r="H158" s="62">
        <f t="shared" si="78"/>
        <v>10772512.333105363</v>
      </c>
      <c r="I158" s="62">
        <f t="shared" si="78"/>
        <v>14624746.522823598</v>
      </c>
      <c r="J158" s="62">
        <f t="shared" si="78"/>
        <v>18387615.601068348</v>
      </c>
      <c r="K158" s="62">
        <f t="shared" si="78"/>
        <v>22615995.000753656</v>
      </c>
      <c r="L158" s="62">
        <f t="shared" si="78"/>
        <v>26812529.386894863</v>
      </c>
      <c r="M158" s="62">
        <f t="shared" si="78"/>
        <v>30958056.438137148</v>
      </c>
      <c r="N158" s="62">
        <f t="shared" si="78"/>
        <v>35069842.899230294</v>
      </c>
      <c r="Q158" s="648"/>
      <c r="R158" s="648"/>
      <c r="AA158" s="648"/>
      <c r="AB158" s="648"/>
    </row>
    <row r="159" spans="1:28" ht="15" x14ac:dyDescent="0.3">
      <c r="A159" s="2007" t="s">
        <v>491</v>
      </c>
      <c r="B159" s="2007"/>
      <c r="C159" s="768">
        <f>+C154</f>
        <v>0.15</v>
      </c>
      <c r="D159" s="62">
        <f>+D117</f>
        <v>-2194000</v>
      </c>
      <c r="E159" s="62">
        <f t="shared" ref="E159:N159" si="79">+E117+D159</f>
        <v>-432558.67264296138</v>
      </c>
      <c r="F159" s="62">
        <f t="shared" si="79"/>
        <v>2894855.6541778091</v>
      </c>
      <c r="G159" s="62">
        <f t="shared" si="79"/>
        <v>6138662.4716321798</v>
      </c>
      <c r="H159" s="62">
        <f t="shared" si="79"/>
        <v>9304312.557329841</v>
      </c>
      <c r="I159" s="62">
        <f t="shared" si="79"/>
        <v>12388827.691409238</v>
      </c>
      <c r="J159" s="62">
        <f t="shared" si="79"/>
        <v>15270789.205863064</v>
      </c>
      <c r="K159" s="62">
        <f t="shared" si="79"/>
        <v>18368478.550952643</v>
      </c>
      <c r="L159" s="62">
        <f t="shared" si="79"/>
        <v>21309170.580774847</v>
      </c>
      <c r="M159" s="62">
        <f t="shared" si="79"/>
        <v>24087817.448177911</v>
      </c>
      <c r="N159" s="62">
        <f t="shared" si="79"/>
        <v>26724021.360649187</v>
      </c>
      <c r="Q159" s="648"/>
      <c r="R159" s="648"/>
      <c r="AA159" s="648"/>
      <c r="AB159" s="648"/>
    </row>
    <row r="160" spans="1:28" ht="15" x14ac:dyDescent="0.3">
      <c r="A160" s="2007" t="s">
        <v>491</v>
      </c>
      <c r="B160" s="2007"/>
      <c r="C160" s="768">
        <f>+C155</f>
        <v>0.2</v>
      </c>
      <c r="D160" s="62">
        <f>+D118</f>
        <v>-2194000</v>
      </c>
      <c r="E160" s="62">
        <f t="shared" ref="E160:N160" si="80">+E118+D160</f>
        <v>-505952.061282838</v>
      </c>
      <c r="F160" s="62">
        <f t="shared" si="80"/>
        <v>2549954.4992869319</v>
      </c>
      <c r="G160" s="62">
        <f t="shared" si="80"/>
        <v>5404945.6413563266</v>
      </c>
      <c r="H160" s="62">
        <f t="shared" si="80"/>
        <v>8075056.4559773933</v>
      </c>
      <c r="I160" s="62">
        <f t="shared" si="80"/>
        <v>10568329.702538574</v>
      </c>
      <c r="J160" s="62">
        <f t="shared" si="80"/>
        <v>12800810.555458199</v>
      </c>
      <c r="K160" s="62">
        <f t="shared" si="80"/>
        <v>15100419.674109008</v>
      </c>
      <c r="L160" s="62">
        <f t="shared" si="80"/>
        <v>17192518.99707938</v>
      </c>
      <c r="M160" s="62">
        <f t="shared" si="80"/>
        <v>19086967.068820629</v>
      </c>
      <c r="N160" s="62">
        <f t="shared" si="80"/>
        <v>20809410.40352378</v>
      </c>
      <c r="Q160" s="648"/>
      <c r="R160" s="648"/>
      <c r="AA160" s="648"/>
      <c r="AB160" s="648"/>
    </row>
    <row r="161" spans="1:28" ht="15" x14ac:dyDescent="0.3">
      <c r="A161" s="6"/>
      <c r="B161" s="1045"/>
      <c r="C161" s="1071"/>
      <c r="D161" s="1071"/>
      <c r="E161" s="1071"/>
      <c r="F161" s="1071"/>
      <c r="G161" s="1071"/>
      <c r="H161" s="1071"/>
      <c r="I161" s="1071"/>
      <c r="J161" s="1071"/>
      <c r="K161" s="1071"/>
      <c r="L161" s="1083"/>
      <c r="M161" s="1083"/>
      <c r="N161" s="1084"/>
      <c r="Q161" s="648"/>
      <c r="R161" s="648"/>
      <c r="AA161" s="1072"/>
      <c r="AB161" s="648"/>
    </row>
    <row r="162" spans="1:28" ht="16.5" x14ac:dyDescent="0.2">
      <c r="A162" s="1994" t="s">
        <v>503</v>
      </c>
      <c r="B162" s="1994"/>
      <c r="C162" s="1994"/>
      <c r="D162" s="1994"/>
      <c r="E162" s="1994"/>
      <c r="F162" s="1994"/>
      <c r="G162" s="1994"/>
      <c r="H162" s="1994"/>
      <c r="I162" s="1994"/>
      <c r="J162" s="1994"/>
      <c r="K162" s="1994"/>
      <c r="L162" s="1994"/>
      <c r="M162" s="1994"/>
      <c r="N162" s="1994"/>
      <c r="Q162" s="648"/>
      <c r="R162" s="648"/>
      <c r="AA162" s="1072"/>
      <c r="AB162" s="648"/>
    </row>
    <row r="163" spans="1:28" ht="16.5" x14ac:dyDescent="0.2">
      <c r="A163" s="2003" t="s">
        <v>377</v>
      </c>
      <c r="B163" s="2004"/>
      <c r="C163" s="1067"/>
      <c r="D163" s="1411" t="s">
        <v>161</v>
      </c>
      <c r="E163" s="1411">
        <v>1</v>
      </c>
      <c r="F163" s="1411">
        <v>2</v>
      </c>
      <c r="G163" s="1411">
        <v>3</v>
      </c>
      <c r="H163" s="1411">
        <v>4</v>
      </c>
      <c r="I163" s="1411">
        <v>5</v>
      </c>
      <c r="J163" s="1411">
        <v>6</v>
      </c>
      <c r="K163" s="1411">
        <v>7</v>
      </c>
      <c r="L163" s="1411">
        <v>8</v>
      </c>
      <c r="M163" s="1412">
        <v>9</v>
      </c>
      <c r="N163" s="1412">
        <v>10</v>
      </c>
      <c r="Q163" s="648"/>
      <c r="R163" s="648"/>
      <c r="AA163" s="1072"/>
      <c r="AB163" s="648"/>
    </row>
    <row r="164" spans="1:28" ht="16.5" x14ac:dyDescent="0.2">
      <c r="A164" s="1479"/>
      <c r="B164" s="1480"/>
      <c r="C164" s="1034"/>
      <c r="D164" s="1411">
        <f>+'17 Hoja de Trabajo'!$D$2</f>
        <v>2017</v>
      </c>
      <c r="E164" s="1411">
        <f>+D164</f>
        <v>2017</v>
      </c>
      <c r="F164" s="1411">
        <f>+E164+1</f>
        <v>2018</v>
      </c>
      <c r="G164" s="1411">
        <f t="shared" ref="G164:N164" si="81">+F164+1</f>
        <v>2019</v>
      </c>
      <c r="H164" s="1411">
        <f t="shared" si="81"/>
        <v>2020</v>
      </c>
      <c r="I164" s="1411">
        <f t="shared" si="81"/>
        <v>2021</v>
      </c>
      <c r="J164" s="1411">
        <f t="shared" si="81"/>
        <v>2022</v>
      </c>
      <c r="K164" s="1411">
        <f t="shared" si="81"/>
        <v>2023</v>
      </c>
      <c r="L164" s="1411">
        <f t="shared" si="81"/>
        <v>2024</v>
      </c>
      <c r="M164" s="1411">
        <f t="shared" si="81"/>
        <v>2025</v>
      </c>
      <c r="N164" s="1411">
        <f t="shared" si="81"/>
        <v>2026</v>
      </c>
      <c r="Q164" s="648"/>
      <c r="R164" s="648"/>
      <c r="AA164" s="1072"/>
      <c r="AB164" s="648"/>
    </row>
    <row r="165" spans="1:28" ht="15" x14ac:dyDescent="0.3">
      <c r="A165" s="2007" t="s">
        <v>487</v>
      </c>
      <c r="B165" s="2007"/>
      <c r="C165" s="965">
        <v>0</v>
      </c>
      <c r="D165" s="965">
        <f t="shared" ref="D165:D166" si="82">SUM(E165:Z165)</f>
        <v>9.1905165921001437</v>
      </c>
      <c r="E165" s="965">
        <f>IF(D$43&lt;0,IF(E$43&gt;0,-D$43/(-D43+E$43)*12+D$138*12,0),0)</f>
        <v>9.1905165921001437</v>
      </c>
      <c r="F165" s="965">
        <f>IF(E$43&lt;0,IF(F$43&gt;0,-E$43/(-E43+F$43)*12+E$140*12,0),0)</f>
        <v>0</v>
      </c>
      <c r="G165" s="965">
        <f t="shared" ref="G165:N165" si="83">IF(F$43&lt;0,IF(G$43&gt;0,-F$43/(-F43+G$43)*12+G$140*12,0),0)</f>
        <v>0</v>
      </c>
      <c r="H165" s="965">
        <f t="shared" si="83"/>
        <v>0</v>
      </c>
      <c r="I165" s="965">
        <f t="shared" si="83"/>
        <v>0</v>
      </c>
      <c r="J165" s="965">
        <f t="shared" si="83"/>
        <v>0</v>
      </c>
      <c r="K165" s="965">
        <f t="shared" si="83"/>
        <v>0</v>
      </c>
      <c r="L165" s="965">
        <f t="shared" si="83"/>
        <v>0</v>
      </c>
      <c r="M165" s="965">
        <f t="shared" si="83"/>
        <v>0</v>
      </c>
      <c r="N165" s="965">
        <f t="shared" si="83"/>
        <v>0</v>
      </c>
      <c r="Q165" s="648"/>
      <c r="R165" s="648"/>
      <c r="AA165" s="1072"/>
      <c r="AB165" s="648"/>
    </row>
    <row r="166" spans="1:28" ht="15" x14ac:dyDescent="0.3">
      <c r="A166" s="2007" t="s">
        <v>489</v>
      </c>
      <c r="B166" s="2007"/>
      <c r="C166" s="965">
        <v>0</v>
      </c>
      <c r="D166" s="965">
        <f t="shared" si="82"/>
        <v>9.8649674183305844</v>
      </c>
      <c r="E166" s="965">
        <f>IF(D45&lt;0,IF(E45&gt;0,-D45/(-D45+E45)*12+D138*12,0),0)</f>
        <v>9.8649674183305844</v>
      </c>
      <c r="F166" s="965">
        <f t="shared" ref="F166:N166" si="84">IF(E45&lt;0,IF(F45&gt;0,-E45/(-E45+F45)*12+F140*12,0),0)</f>
        <v>0</v>
      </c>
      <c r="G166" s="965">
        <f t="shared" si="84"/>
        <v>0</v>
      </c>
      <c r="H166" s="965">
        <f t="shared" si="84"/>
        <v>0</v>
      </c>
      <c r="I166" s="965">
        <f t="shared" si="84"/>
        <v>0</v>
      </c>
      <c r="J166" s="965">
        <f t="shared" si="84"/>
        <v>0</v>
      </c>
      <c r="K166" s="965">
        <f t="shared" si="84"/>
        <v>0</v>
      </c>
      <c r="L166" s="965">
        <f t="shared" si="84"/>
        <v>0</v>
      </c>
      <c r="M166" s="965">
        <f t="shared" si="84"/>
        <v>0</v>
      </c>
      <c r="N166" s="965">
        <f t="shared" si="84"/>
        <v>0</v>
      </c>
      <c r="Q166" s="648"/>
      <c r="R166" s="648"/>
      <c r="AA166" s="1072"/>
      <c r="AB166" s="648"/>
    </row>
    <row r="167" spans="1:28" ht="15" x14ac:dyDescent="0.3">
      <c r="A167" s="2007" t="s">
        <v>490</v>
      </c>
      <c r="B167" s="2007"/>
      <c r="C167" s="965">
        <v>0</v>
      </c>
      <c r="D167" s="965">
        <f>SUM(E167:Z167)</f>
        <v>12.050019181912818</v>
      </c>
      <c r="E167" s="965">
        <f>IF(D49&lt;0,IF(E49&gt;0,-D49/(-D49+E49)*12+D138*12,0),0)</f>
        <v>0</v>
      </c>
      <c r="F167" s="965">
        <f t="shared" ref="F167:N167" si="85">IF(E49&lt;0,IF(F49&gt;0,-E49/(-E49+F49)*12+E140*12,0),0)</f>
        <v>12.050019181912818</v>
      </c>
      <c r="G167" s="965">
        <f t="shared" si="85"/>
        <v>0</v>
      </c>
      <c r="H167" s="965">
        <f t="shared" si="85"/>
        <v>0</v>
      </c>
      <c r="I167" s="965">
        <f t="shared" si="85"/>
        <v>0</v>
      </c>
      <c r="J167" s="965">
        <f t="shared" si="85"/>
        <v>0</v>
      </c>
      <c r="K167" s="965">
        <f t="shared" si="85"/>
        <v>0</v>
      </c>
      <c r="L167" s="965">
        <f t="shared" si="85"/>
        <v>0</v>
      </c>
      <c r="M167" s="965">
        <f t="shared" si="85"/>
        <v>0</v>
      </c>
      <c r="N167" s="965">
        <f t="shared" si="85"/>
        <v>0</v>
      </c>
      <c r="Q167" s="648"/>
      <c r="R167" s="648"/>
      <c r="AA167" s="1072"/>
      <c r="AB167" s="648"/>
    </row>
    <row r="168" spans="1:28" ht="15" x14ac:dyDescent="0.3">
      <c r="A168" s="2007" t="s">
        <v>491</v>
      </c>
      <c r="B168" s="2007"/>
      <c r="C168" s="965">
        <v>0</v>
      </c>
      <c r="D168" s="965">
        <f>SUM(F168:AA168)</f>
        <v>12.459063102341766</v>
      </c>
      <c r="E168" s="965">
        <f>IF(D51&lt;0,IF(E51&gt;0,-D51/(-D51+E51)*12+D138*12,0),0)</f>
        <v>0</v>
      </c>
      <c r="F168" s="965">
        <f>IF(E51&lt;0,IF(F51&gt;0,-E51/(-E51+F51)*12+E140*12,0),0)</f>
        <v>12.459063102341766</v>
      </c>
      <c r="G168" s="965">
        <f t="shared" ref="G168:N168" si="86">IF(F51&lt;0,IF(G51&gt;0,-F51/(-F51+G51)*12+F140*12,0),0)</f>
        <v>0</v>
      </c>
      <c r="H168" s="965">
        <f t="shared" si="86"/>
        <v>0</v>
      </c>
      <c r="I168" s="965">
        <f t="shared" si="86"/>
        <v>0</v>
      </c>
      <c r="J168" s="965">
        <f t="shared" si="86"/>
        <v>0</v>
      </c>
      <c r="K168" s="965">
        <f t="shared" si="86"/>
        <v>0</v>
      </c>
      <c r="L168" s="965">
        <f t="shared" si="86"/>
        <v>0</v>
      </c>
      <c r="M168" s="965">
        <f t="shared" si="86"/>
        <v>0</v>
      </c>
      <c r="N168" s="965">
        <f t="shared" si="86"/>
        <v>0</v>
      </c>
      <c r="Q168" s="648"/>
      <c r="R168" s="648"/>
      <c r="AA168" s="1072"/>
      <c r="AB168" s="648"/>
    </row>
    <row r="169" spans="1:28" ht="15" x14ac:dyDescent="0.3">
      <c r="A169"/>
      <c r="B169" s="1045"/>
      <c r="C169" s="1045"/>
      <c r="D169" s="1045"/>
      <c r="E169" s="1045"/>
      <c r="F169" s="1045"/>
      <c r="G169" s="1045"/>
      <c r="H169" s="1045"/>
      <c r="I169" s="1045"/>
      <c r="J169" s="1045"/>
      <c r="K169" s="1045"/>
      <c r="L169"/>
      <c r="M169"/>
      <c r="N169" s="648"/>
      <c r="Q169" s="648"/>
      <c r="R169" s="648"/>
      <c r="AA169" s="648"/>
      <c r="AB169" s="648"/>
    </row>
    <row r="170" spans="1:28" ht="15" x14ac:dyDescent="0.3">
      <c r="A170" s="2007" t="s">
        <v>487</v>
      </c>
      <c r="B170" s="2007"/>
      <c r="C170" s="1078">
        <v>0.05</v>
      </c>
      <c r="D170" s="965">
        <f t="shared" ref="D170:D173" si="87">SUM(E170:Z170)</f>
        <v>9.6500424217051499</v>
      </c>
      <c r="E170" s="965">
        <f>IF(D142&lt;0,IF(E142&gt;0,-D142/(-D142+E142)*12+D$138*12,0),0)</f>
        <v>9.6500424217051499</v>
      </c>
      <c r="F170" s="965">
        <f t="shared" ref="F170:N170" si="88">IF(E142&lt;0,IF(F142&gt;0,-E142/(-E142+F142)*12+E$140*12,0),0)</f>
        <v>0</v>
      </c>
      <c r="G170" s="965">
        <f t="shared" si="88"/>
        <v>0</v>
      </c>
      <c r="H170" s="965">
        <f t="shared" si="88"/>
        <v>0</v>
      </c>
      <c r="I170" s="965">
        <f t="shared" si="88"/>
        <v>0</v>
      </c>
      <c r="J170" s="965">
        <f t="shared" si="88"/>
        <v>0</v>
      </c>
      <c r="K170" s="965">
        <f t="shared" si="88"/>
        <v>0</v>
      </c>
      <c r="L170" s="965">
        <f t="shared" si="88"/>
        <v>0</v>
      </c>
      <c r="M170" s="965">
        <f t="shared" si="88"/>
        <v>0</v>
      </c>
      <c r="N170" s="965">
        <f t="shared" si="88"/>
        <v>0</v>
      </c>
      <c r="Q170" s="648"/>
      <c r="R170" s="648"/>
      <c r="AA170" s="648"/>
      <c r="AB170" s="648"/>
    </row>
    <row r="171" spans="1:28" ht="15" x14ac:dyDescent="0.3">
      <c r="A171" s="2007" t="s">
        <v>487</v>
      </c>
      <c r="B171" s="2007"/>
      <c r="C171" s="1078">
        <v>0.1</v>
      </c>
      <c r="D171" s="965">
        <f t="shared" si="87"/>
        <v>10.109568251310158</v>
      </c>
      <c r="E171" s="965">
        <f>IF(D143&lt;0,IF(E143&gt;0,-D143/(-D143+E143)*12+D$138*12,0),0)</f>
        <v>10.109568251310158</v>
      </c>
      <c r="F171" s="965">
        <f t="shared" ref="F171:N171" si="89">IF(E143&lt;0,IF(F143&gt;0,-E143/(-E143+F143)*12+E$140*12,0),0)</f>
        <v>0</v>
      </c>
      <c r="G171" s="965">
        <f t="shared" si="89"/>
        <v>0</v>
      </c>
      <c r="H171" s="965">
        <f t="shared" si="89"/>
        <v>0</v>
      </c>
      <c r="I171" s="965">
        <f t="shared" si="89"/>
        <v>0</v>
      </c>
      <c r="J171" s="965">
        <f t="shared" si="89"/>
        <v>0</v>
      </c>
      <c r="K171" s="965">
        <f t="shared" si="89"/>
        <v>0</v>
      </c>
      <c r="L171" s="965">
        <f t="shared" si="89"/>
        <v>0</v>
      </c>
      <c r="M171" s="965">
        <f t="shared" si="89"/>
        <v>0</v>
      </c>
      <c r="N171" s="965">
        <f t="shared" si="89"/>
        <v>0</v>
      </c>
      <c r="Q171" s="648"/>
      <c r="R171" s="648"/>
      <c r="AA171" s="648"/>
      <c r="AB171" s="648"/>
    </row>
    <row r="172" spans="1:28" ht="15" x14ac:dyDescent="0.3">
      <c r="A172" s="2007" t="s">
        <v>487</v>
      </c>
      <c r="B172" s="2007"/>
      <c r="C172" s="1078">
        <v>0.15</v>
      </c>
      <c r="D172" s="965">
        <f t="shared" si="87"/>
        <v>10.569094080915164</v>
      </c>
      <c r="E172" s="965">
        <f>IF(D144&lt;0,IF(E144&gt;0,-D144/(-D144+E144)*12+D$138*12,0),0)</f>
        <v>10.569094080915164</v>
      </c>
      <c r="F172" s="965">
        <f t="shared" ref="F172:N172" si="90">IF(E144&lt;0,IF(F144&gt;0,-E144/(-E144+F144)*12+E$140*12,0),0)</f>
        <v>0</v>
      </c>
      <c r="G172" s="965">
        <f t="shared" si="90"/>
        <v>0</v>
      </c>
      <c r="H172" s="965">
        <f t="shared" si="90"/>
        <v>0</v>
      </c>
      <c r="I172" s="965">
        <f t="shared" si="90"/>
        <v>0</v>
      </c>
      <c r="J172" s="965">
        <f t="shared" si="90"/>
        <v>0</v>
      </c>
      <c r="K172" s="965">
        <f t="shared" si="90"/>
        <v>0</v>
      </c>
      <c r="L172" s="965">
        <f t="shared" si="90"/>
        <v>0</v>
      </c>
      <c r="M172" s="965">
        <f t="shared" si="90"/>
        <v>0</v>
      </c>
      <c r="N172" s="965">
        <f t="shared" si="90"/>
        <v>0</v>
      </c>
      <c r="Q172" s="648"/>
      <c r="R172" s="648"/>
      <c r="AA172" s="648"/>
      <c r="AB172" s="648"/>
    </row>
    <row r="173" spans="1:28" ht="15" x14ac:dyDescent="0.3">
      <c r="A173" s="2007" t="s">
        <v>487</v>
      </c>
      <c r="B173" s="2007"/>
      <c r="C173" s="1078">
        <v>0.2</v>
      </c>
      <c r="D173" s="965">
        <f t="shared" si="87"/>
        <v>11.028619910520172</v>
      </c>
      <c r="E173" s="965">
        <f>IF(D145&lt;0,IF(E145&gt;0,-D145/(-D145+E145)*12+D$138*12,0),0)</f>
        <v>11.028619910520172</v>
      </c>
      <c r="F173" s="965">
        <f t="shared" ref="F173:N173" si="91">IF(E145&lt;0,IF(F145&gt;0,-E145/(-E145+F145)*12+E$140*12,0),0)</f>
        <v>0</v>
      </c>
      <c r="G173" s="965">
        <f t="shared" si="91"/>
        <v>0</v>
      </c>
      <c r="H173" s="965">
        <f t="shared" si="91"/>
        <v>0</v>
      </c>
      <c r="I173" s="965">
        <f t="shared" si="91"/>
        <v>0</v>
      </c>
      <c r="J173" s="965">
        <f t="shared" si="91"/>
        <v>0</v>
      </c>
      <c r="K173" s="965">
        <f t="shared" si="91"/>
        <v>0</v>
      </c>
      <c r="L173" s="965">
        <f t="shared" si="91"/>
        <v>0</v>
      </c>
      <c r="M173" s="965">
        <f t="shared" si="91"/>
        <v>0</v>
      </c>
      <c r="N173" s="965">
        <f t="shared" si="91"/>
        <v>0</v>
      </c>
      <c r="Q173" s="648"/>
      <c r="R173" s="648"/>
      <c r="AA173" s="648"/>
      <c r="AB173" s="648"/>
    </row>
    <row r="174" spans="1:28" ht="15" x14ac:dyDescent="0.3">
      <c r="A174" s="1079"/>
      <c r="B174" s="1069"/>
      <c r="C174" s="1045"/>
      <c r="D174" s="1045"/>
      <c r="E174" s="1045"/>
      <c r="F174" s="1045"/>
      <c r="G174" s="1045"/>
      <c r="H174" s="1045"/>
      <c r="I174" s="1045"/>
      <c r="J174" s="1045"/>
      <c r="K174" s="1045"/>
      <c r="L174" s="6"/>
      <c r="M174" s="6"/>
      <c r="N174" s="1080"/>
      <c r="Q174" s="648"/>
      <c r="R174" s="648"/>
      <c r="AA174" s="648"/>
      <c r="AB174" s="648"/>
    </row>
    <row r="175" spans="1:28" ht="15" x14ac:dyDescent="0.3">
      <c r="A175" s="2007" t="s">
        <v>489</v>
      </c>
      <c r="B175" s="2007"/>
      <c r="C175" s="768">
        <f>+C170</f>
        <v>0.05</v>
      </c>
      <c r="D175" s="965">
        <f t="shared" ref="D175:D188" si="92">SUM(E175:Z175)</f>
        <v>10.358215789247113</v>
      </c>
      <c r="E175" s="965">
        <f>IF(D147&lt;0,IF(E147&gt;0,-D147/(-D147+E147)*12+D$138*12,0),0)</f>
        <v>10.358215789247113</v>
      </c>
      <c r="F175" s="965">
        <f t="shared" ref="F175:N175" si="93">IF(E147&lt;0,IF(F147&gt;0,-E147/(-E147+F147)*12+E$140*12,0),0)</f>
        <v>0</v>
      </c>
      <c r="G175" s="965">
        <f t="shared" si="93"/>
        <v>0</v>
      </c>
      <c r="H175" s="965">
        <f t="shared" si="93"/>
        <v>0</v>
      </c>
      <c r="I175" s="965">
        <f t="shared" si="93"/>
        <v>0</v>
      </c>
      <c r="J175" s="965">
        <f t="shared" si="93"/>
        <v>0</v>
      </c>
      <c r="K175" s="965">
        <f t="shared" si="93"/>
        <v>0</v>
      </c>
      <c r="L175" s="965">
        <f t="shared" si="93"/>
        <v>0</v>
      </c>
      <c r="M175" s="965">
        <f t="shared" si="93"/>
        <v>0</v>
      </c>
      <c r="N175" s="965">
        <f t="shared" si="93"/>
        <v>0</v>
      </c>
      <c r="Q175" s="648"/>
      <c r="R175" s="648"/>
      <c r="AA175" s="648"/>
      <c r="AB175" s="648"/>
    </row>
    <row r="176" spans="1:28" ht="15" x14ac:dyDescent="0.3">
      <c r="A176" s="2007" t="s">
        <v>489</v>
      </c>
      <c r="B176" s="2007"/>
      <c r="C176" s="768">
        <f>+C171</f>
        <v>0.1</v>
      </c>
      <c r="D176" s="965">
        <f t="shared" si="92"/>
        <v>10.851464160163644</v>
      </c>
      <c r="E176" s="965">
        <f>IF(D148&lt;0,IF(E148&gt;0,-D148/(-D148+E148)*12+D$138*12,0),0)</f>
        <v>10.851464160163644</v>
      </c>
      <c r="F176" s="965">
        <f t="shared" ref="F176:N176" si="94">IF(E148&lt;0,IF(F148&gt;0,-E148/(-E148+F148)*12+E$140*12,0),0)</f>
        <v>0</v>
      </c>
      <c r="G176" s="965">
        <f t="shared" si="94"/>
        <v>0</v>
      </c>
      <c r="H176" s="965">
        <f t="shared" si="94"/>
        <v>0</v>
      </c>
      <c r="I176" s="965">
        <f t="shared" si="94"/>
        <v>0</v>
      </c>
      <c r="J176" s="965">
        <f t="shared" si="94"/>
        <v>0</v>
      </c>
      <c r="K176" s="965">
        <f t="shared" si="94"/>
        <v>0</v>
      </c>
      <c r="L176" s="965">
        <f t="shared" si="94"/>
        <v>0</v>
      </c>
      <c r="M176" s="965">
        <f t="shared" si="94"/>
        <v>0</v>
      </c>
      <c r="N176" s="965">
        <f t="shared" si="94"/>
        <v>0</v>
      </c>
      <c r="Q176" s="648"/>
      <c r="R176" s="648"/>
      <c r="AA176" s="648"/>
      <c r="AB176" s="648"/>
    </row>
    <row r="177" spans="1:28" ht="15" x14ac:dyDescent="0.3">
      <c r="A177" s="2007" t="s">
        <v>489</v>
      </c>
      <c r="B177" s="2007"/>
      <c r="C177" s="768">
        <f>+C172</f>
        <v>0.15</v>
      </c>
      <c r="D177" s="965">
        <f t="shared" si="92"/>
        <v>11.344712531080171</v>
      </c>
      <c r="E177" s="965">
        <f>IF(D149&lt;0,IF(E149&gt;0,-D149/(-D149+E149)*12+D$138*12,0),0)</f>
        <v>11.344712531080171</v>
      </c>
      <c r="F177" s="965">
        <f t="shared" ref="F177:N177" si="95">IF(E149&lt;0,IF(F149&gt;0,-E149/(-E149+F149)*12+E$140*12,0),0)</f>
        <v>0</v>
      </c>
      <c r="G177" s="965">
        <f t="shared" si="95"/>
        <v>0</v>
      </c>
      <c r="H177" s="965">
        <f t="shared" si="95"/>
        <v>0</v>
      </c>
      <c r="I177" s="965">
        <f t="shared" si="95"/>
        <v>0</v>
      </c>
      <c r="J177" s="965">
        <f t="shared" si="95"/>
        <v>0</v>
      </c>
      <c r="K177" s="965">
        <f t="shared" si="95"/>
        <v>0</v>
      </c>
      <c r="L177" s="965">
        <f t="shared" si="95"/>
        <v>0</v>
      </c>
      <c r="M177" s="965">
        <f t="shared" si="95"/>
        <v>0</v>
      </c>
      <c r="N177" s="965">
        <f t="shared" si="95"/>
        <v>0</v>
      </c>
      <c r="Q177" s="648"/>
      <c r="R177" s="648"/>
      <c r="AA177" s="648"/>
      <c r="AB177" s="648"/>
    </row>
    <row r="178" spans="1:28" ht="15" x14ac:dyDescent="0.3">
      <c r="A178" s="2007" t="s">
        <v>489</v>
      </c>
      <c r="B178" s="2007"/>
      <c r="C178" s="768">
        <f>+C173</f>
        <v>0.2</v>
      </c>
      <c r="D178" s="965">
        <f t="shared" si="92"/>
        <v>11.837960901996702</v>
      </c>
      <c r="E178" s="965">
        <f>IF(D150&lt;0,IF(E150&gt;0,-D150/(-D150+E150)*12+D$138*12,0),0)</f>
        <v>11.837960901996702</v>
      </c>
      <c r="F178" s="965">
        <f t="shared" ref="F178:N178" si="96">IF(E150&lt;0,IF(F150&gt;0,-E150/(-E150+F150)*12+E$140*12,0),0)</f>
        <v>0</v>
      </c>
      <c r="G178" s="965">
        <f t="shared" si="96"/>
        <v>0</v>
      </c>
      <c r="H178" s="965">
        <f t="shared" si="96"/>
        <v>0</v>
      </c>
      <c r="I178" s="965">
        <f t="shared" si="96"/>
        <v>0</v>
      </c>
      <c r="J178" s="965">
        <f t="shared" si="96"/>
        <v>0</v>
      </c>
      <c r="K178" s="965">
        <f t="shared" si="96"/>
        <v>0</v>
      </c>
      <c r="L178" s="965">
        <f t="shared" si="96"/>
        <v>0</v>
      </c>
      <c r="M178" s="965">
        <f t="shared" si="96"/>
        <v>0</v>
      </c>
      <c r="N178" s="965">
        <f t="shared" si="96"/>
        <v>0</v>
      </c>
      <c r="Q178" s="648"/>
      <c r="R178" s="648"/>
      <c r="AA178" s="648"/>
      <c r="AB178" s="648"/>
    </row>
    <row r="179" spans="1:28" ht="15" x14ac:dyDescent="0.3">
      <c r="A179" s="1079"/>
      <c r="B179" s="1069"/>
      <c r="C179" s="1045"/>
      <c r="D179" s="1045"/>
      <c r="E179" s="1045"/>
      <c r="F179" s="1045"/>
      <c r="G179" s="1045"/>
      <c r="H179" s="1045"/>
      <c r="I179" s="1045"/>
      <c r="J179" s="1045"/>
      <c r="K179" s="1045"/>
      <c r="L179" s="6"/>
      <c r="M179" s="6"/>
      <c r="N179" s="1080"/>
      <c r="Q179" s="648"/>
      <c r="R179" s="648"/>
      <c r="AA179" s="648"/>
      <c r="AB179" s="648"/>
    </row>
    <row r="180" spans="1:28" ht="15" x14ac:dyDescent="0.3">
      <c r="A180" s="2007" t="s">
        <v>490</v>
      </c>
      <c r="B180" s="2007"/>
      <c r="C180" s="768">
        <f>+C175</f>
        <v>0.05</v>
      </c>
      <c r="D180" s="965">
        <f t="shared" si="92"/>
        <v>12.345150161683328</v>
      </c>
      <c r="E180" s="965">
        <f>IF(D152&lt;0,IF(E152&gt;0,-D152/(-D152+E152)*12+D$138*12,0),0)</f>
        <v>0</v>
      </c>
      <c r="F180" s="965">
        <f t="shared" ref="F180:N180" si="97">IF(E152&lt;0,IF(F152&gt;0,-E152/(-E152+F152)*12+E$140*12,0),0)</f>
        <v>12.345150161683328</v>
      </c>
      <c r="G180" s="965">
        <f t="shared" si="97"/>
        <v>0</v>
      </c>
      <c r="H180" s="965">
        <f t="shared" si="97"/>
        <v>0</v>
      </c>
      <c r="I180" s="965">
        <f t="shared" si="97"/>
        <v>0</v>
      </c>
      <c r="J180" s="965">
        <f t="shared" si="97"/>
        <v>0</v>
      </c>
      <c r="K180" s="965">
        <f t="shared" si="97"/>
        <v>0</v>
      </c>
      <c r="L180" s="965">
        <f t="shared" si="97"/>
        <v>0</v>
      </c>
      <c r="M180" s="965">
        <f t="shared" si="97"/>
        <v>0</v>
      </c>
      <c r="N180" s="965">
        <f t="shared" si="97"/>
        <v>0</v>
      </c>
      <c r="Q180" s="648"/>
      <c r="R180" s="648"/>
      <c r="AA180" s="648"/>
      <c r="AB180" s="648"/>
    </row>
    <row r="181" spans="1:28" ht="15" x14ac:dyDescent="0.3">
      <c r="A181" s="2007" t="s">
        <v>490</v>
      </c>
      <c r="B181" s="2007"/>
      <c r="C181" s="768">
        <f>+C176</f>
        <v>0.1</v>
      </c>
      <c r="D181" s="965">
        <f t="shared" si="92"/>
        <v>12.668150667232398</v>
      </c>
      <c r="E181" s="965">
        <f>IF(D153&lt;0,IF(E153&gt;0,-D153/(-D153+E153)*12+D$138*12,0),0)</f>
        <v>0</v>
      </c>
      <c r="F181" s="965">
        <f t="shared" ref="F181:N181" si="98">IF(E153&lt;0,IF(F153&gt;0,-E153/(-E153+F153)*12+E$140*12,0),0)</f>
        <v>12.668150667232398</v>
      </c>
      <c r="G181" s="965">
        <f t="shared" si="98"/>
        <v>0</v>
      </c>
      <c r="H181" s="965">
        <f t="shared" si="98"/>
        <v>0</v>
      </c>
      <c r="I181" s="965">
        <f t="shared" si="98"/>
        <v>0</v>
      </c>
      <c r="J181" s="965">
        <f t="shared" si="98"/>
        <v>0</v>
      </c>
      <c r="K181" s="965">
        <f t="shared" si="98"/>
        <v>0</v>
      </c>
      <c r="L181" s="965">
        <f t="shared" si="98"/>
        <v>0</v>
      </c>
      <c r="M181" s="965">
        <f t="shared" si="98"/>
        <v>0</v>
      </c>
      <c r="N181" s="965">
        <f t="shared" si="98"/>
        <v>0</v>
      </c>
      <c r="Q181" s="648"/>
      <c r="R181" s="648"/>
      <c r="AA181" s="648"/>
      <c r="AB181" s="648"/>
    </row>
    <row r="182" spans="1:28" ht="15" x14ac:dyDescent="0.3">
      <c r="A182" s="2007" t="s">
        <v>490</v>
      </c>
      <c r="B182" s="2007"/>
      <c r="C182" s="768">
        <f>+C177</f>
        <v>0.15</v>
      </c>
      <c r="D182" s="965">
        <f t="shared" si="92"/>
        <v>13.019020698560025</v>
      </c>
      <c r="E182" s="965">
        <f>IF(D154&lt;0,IF(E154&gt;0,-D154/(-D154+E154)*12+D$138*12,0),0)</f>
        <v>0</v>
      </c>
      <c r="F182" s="965">
        <f t="shared" ref="F182:N182" si="99">IF(E154&lt;0,IF(F154&gt;0,-E154/(-E154+F154)*12+E$140*12,0),0)</f>
        <v>13.019020698560025</v>
      </c>
      <c r="G182" s="965">
        <f t="shared" si="99"/>
        <v>0</v>
      </c>
      <c r="H182" s="965">
        <f t="shared" si="99"/>
        <v>0</v>
      </c>
      <c r="I182" s="965">
        <f t="shared" si="99"/>
        <v>0</v>
      </c>
      <c r="J182" s="965">
        <f t="shared" si="99"/>
        <v>0</v>
      </c>
      <c r="K182" s="965">
        <f t="shared" si="99"/>
        <v>0</v>
      </c>
      <c r="L182" s="965">
        <f t="shared" si="99"/>
        <v>0</v>
      </c>
      <c r="M182" s="965">
        <f t="shared" si="99"/>
        <v>0</v>
      </c>
      <c r="N182" s="965">
        <f t="shared" si="99"/>
        <v>0</v>
      </c>
      <c r="Q182" s="648"/>
      <c r="R182" s="648"/>
      <c r="AA182" s="648"/>
      <c r="AB182" s="648"/>
    </row>
    <row r="183" spans="1:28" ht="15" x14ac:dyDescent="0.3">
      <c r="A183" s="2007" t="s">
        <v>490</v>
      </c>
      <c r="B183" s="2007"/>
      <c r="C183" s="768">
        <f>+C178</f>
        <v>0.2</v>
      </c>
      <c r="D183" s="965">
        <f t="shared" si="92"/>
        <v>13.397760255666212</v>
      </c>
      <c r="E183" s="965">
        <f>IF(D155&lt;0,IF(E155&gt;0,-D155/(-D155+E155)*12+D$138*12,0),0)</f>
        <v>0</v>
      </c>
      <c r="F183" s="965">
        <f t="shared" ref="F183:N183" si="100">IF(E155&lt;0,IF(F155&gt;0,-E155/(-E155+F155)*12+E$140*12,0),0)</f>
        <v>13.397760255666212</v>
      </c>
      <c r="G183" s="965">
        <f t="shared" si="100"/>
        <v>0</v>
      </c>
      <c r="H183" s="965">
        <f t="shared" si="100"/>
        <v>0</v>
      </c>
      <c r="I183" s="965">
        <f t="shared" si="100"/>
        <v>0</v>
      </c>
      <c r="J183" s="965">
        <f t="shared" si="100"/>
        <v>0</v>
      </c>
      <c r="K183" s="965">
        <f t="shared" si="100"/>
        <v>0</v>
      </c>
      <c r="L183" s="965">
        <f t="shared" si="100"/>
        <v>0</v>
      </c>
      <c r="M183" s="965">
        <f t="shared" si="100"/>
        <v>0</v>
      </c>
      <c r="N183" s="965">
        <f t="shared" si="100"/>
        <v>0</v>
      </c>
      <c r="Q183" s="648"/>
      <c r="R183" s="648"/>
      <c r="AA183" s="648"/>
      <c r="AB183" s="648"/>
    </row>
    <row r="184" spans="1:28" ht="15" x14ac:dyDescent="0.3">
      <c r="A184" s="1079"/>
      <c r="B184" s="1069"/>
      <c r="C184" s="1045"/>
      <c r="D184" s="1045"/>
      <c r="E184" s="1045"/>
      <c r="F184" s="1045"/>
      <c r="G184" s="1045"/>
      <c r="H184" s="1045"/>
      <c r="I184" s="1045"/>
      <c r="J184" s="1045"/>
      <c r="K184" s="1045"/>
      <c r="L184" s="6"/>
      <c r="M184" s="6"/>
      <c r="N184" s="1080"/>
      <c r="Q184" s="648"/>
      <c r="R184" s="648"/>
      <c r="AA184" s="648"/>
      <c r="AB184" s="648"/>
    </row>
    <row r="185" spans="1:28" ht="15" x14ac:dyDescent="0.3">
      <c r="A185" s="2007" t="s">
        <v>491</v>
      </c>
      <c r="B185" s="2007"/>
      <c r="C185" s="768">
        <f>+C180</f>
        <v>0.05</v>
      </c>
      <c r="D185" s="965">
        <f t="shared" si="92"/>
        <v>12.796121083956244</v>
      </c>
      <c r="E185" s="965">
        <f t="shared" ref="E185:N185" si="101">IF(D157&lt;0,IF(E157&gt;0,-D157/(-D157+E157)*12+D$140*12,0),0)</f>
        <v>0</v>
      </c>
      <c r="F185" s="965">
        <f t="shared" si="101"/>
        <v>12.796121083956244</v>
      </c>
      <c r="G185" s="965">
        <f t="shared" si="101"/>
        <v>0</v>
      </c>
      <c r="H185" s="965">
        <f t="shared" si="101"/>
        <v>0</v>
      </c>
      <c r="I185" s="965">
        <f t="shared" si="101"/>
        <v>0</v>
      </c>
      <c r="J185" s="965">
        <f t="shared" si="101"/>
        <v>0</v>
      </c>
      <c r="K185" s="965">
        <f t="shared" si="101"/>
        <v>0</v>
      </c>
      <c r="L185" s="965">
        <f t="shared" si="101"/>
        <v>0</v>
      </c>
      <c r="M185" s="965">
        <f t="shared" si="101"/>
        <v>0</v>
      </c>
      <c r="N185" s="965">
        <f t="shared" si="101"/>
        <v>0</v>
      </c>
      <c r="Q185" s="648"/>
      <c r="R185" s="648"/>
      <c r="AA185" s="648"/>
      <c r="AB185" s="648"/>
    </row>
    <row r="186" spans="1:28" ht="15" x14ac:dyDescent="0.3">
      <c r="A186" s="2007" t="s">
        <v>491</v>
      </c>
      <c r="B186" s="2007"/>
      <c r="C186" s="768">
        <f>+C181</f>
        <v>0.1</v>
      </c>
      <c r="D186" s="965">
        <f t="shared" si="92"/>
        <v>13.163093810951425</v>
      </c>
      <c r="E186" s="965">
        <f t="shared" ref="E186:N186" si="102">IF(D158&lt;0,IF(E158&gt;0,-D158/(-D158+E158)*12+D$140*12,0),0)</f>
        <v>0</v>
      </c>
      <c r="F186" s="965">
        <f t="shared" si="102"/>
        <v>13.163093810951425</v>
      </c>
      <c r="G186" s="965">
        <f t="shared" si="102"/>
        <v>0</v>
      </c>
      <c r="H186" s="965">
        <f t="shared" si="102"/>
        <v>0</v>
      </c>
      <c r="I186" s="965">
        <f t="shared" si="102"/>
        <v>0</v>
      </c>
      <c r="J186" s="965">
        <f t="shared" si="102"/>
        <v>0</v>
      </c>
      <c r="K186" s="965">
        <f t="shared" si="102"/>
        <v>0</v>
      </c>
      <c r="L186" s="965">
        <f t="shared" si="102"/>
        <v>0</v>
      </c>
      <c r="M186" s="965">
        <f t="shared" si="102"/>
        <v>0</v>
      </c>
      <c r="N186" s="965">
        <f t="shared" si="102"/>
        <v>0</v>
      </c>
      <c r="Q186" s="648"/>
      <c r="R186" s="648"/>
      <c r="AA186" s="648"/>
      <c r="AB186" s="648"/>
    </row>
    <row r="187" spans="1:28" ht="15" x14ac:dyDescent="0.3">
      <c r="A187" s="2007" t="s">
        <v>491</v>
      </c>
      <c r="B187" s="2007"/>
      <c r="C187" s="768">
        <f>+C182</f>
        <v>0.15</v>
      </c>
      <c r="D187" s="965">
        <f t="shared" si="92"/>
        <v>13.559981283327309</v>
      </c>
      <c r="E187" s="965">
        <f t="shared" ref="E187:N187" si="103">IF(D159&lt;0,IF(E159&gt;0,-D159/(-D159+E159)*12+D$140*12,0),0)</f>
        <v>0</v>
      </c>
      <c r="F187" s="965">
        <f t="shared" si="103"/>
        <v>13.559981283327309</v>
      </c>
      <c r="G187" s="965">
        <f t="shared" si="103"/>
        <v>0</v>
      </c>
      <c r="H187" s="965">
        <f t="shared" si="103"/>
        <v>0</v>
      </c>
      <c r="I187" s="965">
        <f t="shared" si="103"/>
        <v>0</v>
      </c>
      <c r="J187" s="965">
        <f t="shared" si="103"/>
        <v>0</v>
      </c>
      <c r="K187" s="965">
        <f t="shared" si="103"/>
        <v>0</v>
      </c>
      <c r="L187" s="965">
        <f t="shared" si="103"/>
        <v>0</v>
      </c>
      <c r="M187" s="965">
        <f t="shared" si="103"/>
        <v>0</v>
      </c>
      <c r="N187" s="965">
        <f t="shared" si="103"/>
        <v>0</v>
      </c>
      <c r="Q187" s="648"/>
      <c r="R187" s="648"/>
      <c r="AA187" s="648"/>
      <c r="AB187" s="648"/>
    </row>
    <row r="188" spans="1:28" ht="15" x14ac:dyDescent="0.3">
      <c r="A188" s="2007" t="s">
        <v>491</v>
      </c>
      <c r="B188" s="2007"/>
      <c r="C188" s="768">
        <f>+C183</f>
        <v>0.2</v>
      </c>
      <c r="D188" s="965">
        <f t="shared" si="92"/>
        <v>13.986783501083897</v>
      </c>
      <c r="E188" s="965">
        <f t="shared" ref="E188:N188" si="104">IF(D160&lt;0,IF(E160&gt;0,-D160/(-D160+E160)*12+D$140*12,0),0)</f>
        <v>0</v>
      </c>
      <c r="F188" s="965">
        <f t="shared" si="104"/>
        <v>13.986783501083897</v>
      </c>
      <c r="G188" s="965">
        <f t="shared" si="104"/>
        <v>0</v>
      </c>
      <c r="H188" s="965">
        <f t="shared" si="104"/>
        <v>0</v>
      </c>
      <c r="I188" s="965">
        <f t="shared" si="104"/>
        <v>0</v>
      </c>
      <c r="J188" s="965">
        <f t="shared" si="104"/>
        <v>0</v>
      </c>
      <c r="K188" s="965">
        <f t="shared" si="104"/>
        <v>0</v>
      </c>
      <c r="L188" s="965">
        <f t="shared" si="104"/>
        <v>0</v>
      </c>
      <c r="M188" s="965">
        <f t="shared" si="104"/>
        <v>0</v>
      </c>
      <c r="N188" s="965">
        <f t="shared" si="104"/>
        <v>0</v>
      </c>
      <c r="Q188" s="648"/>
      <c r="R188" s="648"/>
      <c r="AA188" s="648"/>
      <c r="AB188" s="648"/>
    </row>
    <row r="189" spans="1:28" ht="15" x14ac:dyDescent="0.3">
      <c r="A189"/>
      <c r="B189" s="1045"/>
      <c r="C189" s="1045"/>
      <c r="D189" s="1045"/>
      <c r="E189" s="1045"/>
      <c r="F189" s="1045"/>
      <c r="G189" s="1045"/>
      <c r="H189" s="1045"/>
      <c r="I189" s="1045"/>
      <c r="J189" s="1045"/>
      <c r="K189" s="1045"/>
      <c r="L189"/>
      <c r="M189"/>
      <c r="N189" s="648"/>
      <c r="Q189" s="648"/>
      <c r="R189" s="648"/>
      <c r="AA189" s="648"/>
      <c r="AB189" s="648"/>
    </row>
    <row r="190" spans="1:28" ht="20.25" customHeight="1" x14ac:dyDescent="0.3">
      <c r="A190" s="1994" t="s">
        <v>498</v>
      </c>
      <c r="B190" s="1994"/>
      <c r="C190" s="1994"/>
      <c r="D190" s="1994"/>
      <c r="E190" s="1994"/>
      <c r="F190" s="1994"/>
      <c r="G190" s="1994"/>
      <c r="H190" s="1045"/>
      <c r="I190" s="1045"/>
      <c r="J190" s="1045"/>
      <c r="K190" s="1045"/>
      <c r="L190"/>
      <c r="M190"/>
      <c r="N190" s="648"/>
      <c r="Q190" s="648"/>
      <c r="R190" s="648"/>
      <c r="AA190" s="648"/>
      <c r="AB190" s="648"/>
    </row>
    <row r="191" spans="1:28" ht="15" x14ac:dyDescent="0.3">
      <c r="A191" s="1995" t="s">
        <v>136</v>
      </c>
      <c r="B191" s="1996"/>
      <c r="C191" s="1997"/>
      <c r="D191" s="2001" t="s">
        <v>486</v>
      </c>
      <c r="E191" s="2001"/>
      <c r="F191" s="2001" t="s">
        <v>478</v>
      </c>
      <c r="G191" s="2001"/>
      <c r="H191" s="1045"/>
      <c r="I191" s="1045"/>
      <c r="J191" s="1045"/>
      <c r="K191" s="1045"/>
      <c r="L191"/>
      <c r="M191"/>
      <c r="N191" s="648"/>
      <c r="Q191" s="648"/>
      <c r="R191" s="648"/>
      <c r="AA191" s="648"/>
      <c r="AB191" s="648"/>
    </row>
    <row r="192" spans="1:28" ht="15" x14ac:dyDescent="0.3">
      <c r="A192" s="1998"/>
      <c r="B192" s="1999"/>
      <c r="C192" s="2000"/>
      <c r="D192" s="1064" t="s">
        <v>476</v>
      </c>
      <c r="E192" s="1064" t="s">
        <v>477</v>
      </c>
      <c r="F192" s="1064" t="s">
        <v>476</v>
      </c>
      <c r="G192" s="1064" t="s">
        <v>477</v>
      </c>
      <c r="H192" s="1045"/>
      <c r="I192" s="1045"/>
      <c r="J192" s="1045"/>
      <c r="K192" s="1045"/>
      <c r="L192"/>
      <c r="M192"/>
      <c r="N192" s="648"/>
      <c r="Q192" s="648"/>
      <c r="R192" s="648"/>
      <c r="AA192" s="648"/>
      <c r="AB192" s="648"/>
    </row>
    <row r="193" spans="1:28" ht="15" x14ac:dyDescent="0.3">
      <c r="A193" s="2006" t="s">
        <v>494</v>
      </c>
      <c r="B193" s="2008"/>
      <c r="C193" s="2009"/>
      <c r="D193" s="1060">
        <f>SUM(D42:I42)</f>
        <v>18106893.572340626</v>
      </c>
      <c r="E193" s="1060">
        <f>SUM(D44:I44)</f>
        <v>17956893.572340626</v>
      </c>
      <c r="F193" s="1060">
        <f>SUM(D48:I48)</f>
        <v>21056391.13725834</v>
      </c>
      <c r="G193" s="1060">
        <f>SUM(D50:I50)</f>
        <v>20906391.13725834</v>
      </c>
      <c r="H193" s="1045"/>
      <c r="I193" s="1045"/>
      <c r="J193" s="1045"/>
      <c r="K193" s="1045"/>
      <c r="L193"/>
      <c r="M193"/>
      <c r="N193" s="648"/>
      <c r="Q193" s="648"/>
      <c r="R193" s="648"/>
      <c r="AA193" s="648"/>
      <c r="AB193" s="648"/>
    </row>
    <row r="194" spans="1:28" ht="15" x14ac:dyDescent="0.3">
      <c r="A194" s="2006" t="s">
        <v>495</v>
      </c>
      <c r="B194" s="2008"/>
      <c r="C194" s="2009"/>
      <c r="D194" s="1060">
        <f>SUM(D42:N42)</f>
        <v>60640756.228039727</v>
      </c>
      <c r="E194" s="1060">
        <f>SUM(D44:N44)</f>
        <v>60490756.228039727</v>
      </c>
      <c r="F194" s="1060">
        <f>SUM(D48:N48)</f>
        <v>65397953.706206113</v>
      </c>
      <c r="G194" s="1060">
        <f>SUM(D50:N50)</f>
        <v>65247953.706206113</v>
      </c>
      <c r="H194" s="1045"/>
      <c r="I194" s="1045"/>
      <c r="J194" s="1045"/>
      <c r="K194" s="1045"/>
      <c r="L194"/>
      <c r="M194"/>
      <c r="N194" s="648"/>
      <c r="Q194" s="648"/>
      <c r="R194" s="648"/>
      <c r="AA194" s="648"/>
      <c r="AB194" s="648"/>
    </row>
    <row r="195" spans="1:28" ht="15" x14ac:dyDescent="0.3">
      <c r="A195" s="2002" t="s">
        <v>496</v>
      </c>
      <c r="B195" s="2002"/>
      <c r="C195" s="2006"/>
      <c r="D195" s="965">
        <f>+D165</f>
        <v>9.1905165921001437</v>
      </c>
      <c r="E195" s="965">
        <f>+D166</f>
        <v>9.8649674183305844</v>
      </c>
      <c r="F195" s="965">
        <f>+D167</f>
        <v>12.050019181912818</v>
      </c>
      <c r="G195" s="965">
        <f>+D168</f>
        <v>12.459063102341766</v>
      </c>
      <c r="H195" s="1045"/>
      <c r="I195" s="1045"/>
      <c r="J195" s="1045"/>
      <c r="K195" s="1045"/>
      <c r="L195"/>
      <c r="M195"/>
      <c r="N195" s="648"/>
      <c r="Q195" s="648"/>
      <c r="R195" s="648"/>
      <c r="AA195" s="648"/>
      <c r="AB195" s="648"/>
    </row>
    <row r="196" spans="1:28" ht="15" x14ac:dyDescent="0.3">
      <c r="A196" s="1077" t="s">
        <v>497</v>
      </c>
      <c r="B196" s="1059"/>
      <c r="C196" s="30">
        <f t="shared" ref="C196:D199" si="105">+C170</f>
        <v>0.05</v>
      </c>
      <c r="D196" s="965">
        <f t="shared" si="105"/>
        <v>9.6500424217051499</v>
      </c>
      <c r="E196" s="965">
        <f>+D175</f>
        <v>10.358215789247113</v>
      </c>
      <c r="F196" s="965">
        <f>+D180</f>
        <v>12.345150161683328</v>
      </c>
      <c r="G196" s="965">
        <f>+D185</f>
        <v>12.796121083956244</v>
      </c>
      <c r="H196" s="1045"/>
      <c r="I196" s="1045"/>
      <c r="J196" s="1045"/>
      <c r="K196" s="1045"/>
      <c r="L196"/>
      <c r="M196"/>
      <c r="N196" s="648"/>
      <c r="Q196" s="648"/>
      <c r="R196" s="648"/>
      <c r="AA196" s="648"/>
      <c r="AB196" s="648"/>
    </row>
    <row r="197" spans="1:28" ht="15" x14ac:dyDescent="0.3">
      <c r="A197" s="1077" t="s">
        <v>497</v>
      </c>
      <c r="B197" s="1059"/>
      <c r="C197" s="30">
        <f t="shared" si="105"/>
        <v>0.1</v>
      </c>
      <c r="D197" s="965">
        <f t="shared" si="105"/>
        <v>10.109568251310158</v>
      </c>
      <c r="E197" s="965">
        <f>+D176</f>
        <v>10.851464160163644</v>
      </c>
      <c r="F197" s="965">
        <f>+D181</f>
        <v>12.668150667232398</v>
      </c>
      <c r="G197" s="965">
        <f>+D186</f>
        <v>13.163093810951425</v>
      </c>
      <c r="H197" s="1045"/>
      <c r="I197" s="1045"/>
      <c r="J197" s="1045"/>
      <c r="K197" s="1045"/>
      <c r="L197"/>
      <c r="M197"/>
      <c r="N197" s="648"/>
      <c r="Q197" s="648"/>
      <c r="R197" s="648"/>
      <c r="AA197" s="648"/>
      <c r="AB197" s="648"/>
    </row>
    <row r="198" spans="1:28" ht="15" x14ac:dyDescent="0.3">
      <c r="A198" s="1077" t="s">
        <v>497</v>
      </c>
      <c r="B198" s="1059"/>
      <c r="C198" s="30">
        <f t="shared" si="105"/>
        <v>0.15</v>
      </c>
      <c r="D198" s="965">
        <f t="shared" si="105"/>
        <v>10.569094080915164</v>
      </c>
      <c r="E198" s="965">
        <f>+D177</f>
        <v>11.344712531080171</v>
      </c>
      <c r="F198" s="965">
        <f>+D182</f>
        <v>13.019020698560025</v>
      </c>
      <c r="G198" s="965">
        <f>+D187</f>
        <v>13.559981283327309</v>
      </c>
      <c r="H198" s="1045"/>
      <c r="I198" s="1045"/>
      <c r="J198" s="1045"/>
      <c r="K198" s="1045"/>
      <c r="L198"/>
      <c r="M198"/>
      <c r="N198" s="648"/>
      <c r="Q198" s="648"/>
      <c r="R198" s="648"/>
      <c r="AA198" s="648"/>
      <c r="AB198" s="648"/>
    </row>
    <row r="199" spans="1:28" ht="15" x14ac:dyDescent="0.3">
      <c r="A199" s="1077" t="s">
        <v>497</v>
      </c>
      <c r="B199" s="1059"/>
      <c r="C199" s="30">
        <f t="shared" si="105"/>
        <v>0.2</v>
      </c>
      <c r="D199" s="965">
        <f t="shared" si="105"/>
        <v>11.028619910520172</v>
      </c>
      <c r="E199" s="965">
        <f>+D178</f>
        <v>11.837960901996702</v>
      </c>
      <c r="F199" s="965">
        <f>+D183</f>
        <v>13.397760255666212</v>
      </c>
      <c r="G199" s="965">
        <f>+D188</f>
        <v>13.986783501083897</v>
      </c>
      <c r="H199" s="1045"/>
      <c r="I199" s="1045"/>
      <c r="J199" s="1045"/>
      <c r="K199" s="1045"/>
      <c r="L199"/>
      <c r="M199"/>
      <c r="N199" s="648"/>
      <c r="Q199" s="648"/>
      <c r="R199" s="648"/>
      <c r="AA199" s="648"/>
      <c r="AB199" s="648"/>
    </row>
    <row r="200" spans="1:28" ht="15" x14ac:dyDescent="0.3">
      <c r="A200" s="1074"/>
      <c r="B200" s="1075"/>
      <c r="C200" s="1075"/>
      <c r="D200" s="1076"/>
      <c r="E200" s="1076"/>
      <c r="F200" s="1076"/>
      <c r="G200" s="1076"/>
      <c r="H200" s="1045"/>
      <c r="I200" s="1045"/>
      <c r="J200" s="1045"/>
      <c r="K200" s="1045"/>
      <c r="L200"/>
      <c r="M200"/>
      <c r="N200" s="648"/>
      <c r="Q200" s="648"/>
      <c r="R200" s="648"/>
      <c r="AA200" s="648"/>
      <c r="AB200" s="648"/>
    </row>
    <row r="201" spans="1:28" ht="16.5" x14ac:dyDescent="0.3">
      <c r="A201" s="1994" t="s">
        <v>499</v>
      </c>
      <c r="B201" s="1994"/>
      <c r="C201" s="1994"/>
      <c r="D201" s="1994"/>
      <c r="E201" s="1994"/>
      <c r="F201" s="1994"/>
      <c r="G201" s="1994"/>
      <c r="H201" s="1045"/>
      <c r="I201" s="1045"/>
      <c r="J201" s="1045"/>
      <c r="K201" s="1045"/>
      <c r="L201"/>
      <c r="M201"/>
      <c r="N201" s="648"/>
      <c r="Q201" s="648"/>
      <c r="R201" s="648"/>
      <c r="AA201" s="648"/>
      <c r="AB201" s="648"/>
    </row>
    <row r="202" spans="1:28" ht="15" x14ac:dyDescent="0.3">
      <c r="A202" s="1995" t="s">
        <v>136</v>
      </c>
      <c r="B202" s="1996"/>
      <c r="C202" s="1997"/>
      <c r="D202" s="2001" t="s">
        <v>486</v>
      </c>
      <c r="E202" s="2001"/>
      <c r="F202" s="2001" t="s">
        <v>478</v>
      </c>
      <c r="G202" s="2001"/>
      <c r="H202" s="1045"/>
      <c r="I202" s="1045"/>
      <c r="J202" s="1045"/>
      <c r="K202" s="1045"/>
      <c r="L202"/>
      <c r="M202"/>
      <c r="N202" s="648"/>
      <c r="Q202" s="648"/>
      <c r="R202" s="648"/>
      <c r="AA202" s="648"/>
      <c r="AB202" s="648"/>
    </row>
    <row r="203" spans="1:28" ht="15" x14ac:dyDescent="0.3">
      <c r="A203" s="1998"/>
      <c r="B203" s="1999"/>
      <c r="C203" s="2000"/>
      <c r="D203" s="1064" t="s">
        <v>476</v>
      </c>
      <c r="E203" s="1064" t="s">
        <v>477</v>
      </c>
      <c r="F203" s="1064" t="s">
        <v>476</v>
      </c>
      <c r="G203" s="1064" t="s">
        <v>477</v>
      </c>
      <c r="H203" s="1045"/>
      <c r="I203" s="1045"/>
      <c r="J203" s="1045"/>
      <c r="K203" s="1045"/>
      <c r="L203"/>
      <c r="M203"/>
      <c r="N203" s="648"/>
      <c r="Q203" s="648"/>
      <c r="R203" s="648"/>
      <c r="AA203" s="648"/>
      <c r="AB203" s="648"/>
    </row>
    <row r="204" spans="1:28" ht="15" x14ac:dyDescent="0.3">
      <c r="A204" s="2006" t="s">
        <v>500</v>
      </c>
      <c r="B204" s="2008"/>
      <c r="C204" s="2009"/>
      <c r="D204" s="1085">
        <f>(SUM(E42:I42)/5)/-D42</f>
        <v>1.9717116998376347</v>
      </c>
      <c r="E204" s="1085">
        <f>(SUM(E44:I44)/5)/-D44</f>
        <v>1.8369091679435394</v>
      </c>
      <c r="F204" s="1085">
        <f>(SUM(E48:I48)/5)/-D48</f>
        <v>2.2603122443501311</v>
      </c>
      <c r="G204" s="1085">
        <f>(SUM(E50:I50)/5)/-D50</f>
        <v>2.1057785904519908</v>
      </c>
      <c r="H204" s="1045"/>
      <c r="I204" s="1045"/>
      <c r="J204" s="1045"/>
      <c r="K204" s="1045"/>
      <c r="L204"/>
      <c r="M204"/>
      <c r="N204" s="648"/>
      <c r="Q204" s="648"/>
      <c r="R204" s="648"/>
      <c r="AA204" s="648"/>
      <c r="AB204" s="648"/>
    </row>
    <row r="205" spans="1:28" ht="15" x14ac:dyDescent="0.3">
      <c r="A205" s="2006" t="s">
        <v>501</v>
      </c>
      <c r="B205" s="2008"/>
      <c r="C205" s="2009"/>
      <c r="D205" s="1085">
        <f>(SUM(E42:N42)/5)/-D42</f>
        <v>6.1335377913933202</v>
      </c>
      <c r="E205" s="1085">
        <f>(SUM(E44:N44)/5)/-D44</f>
        <v>5.7141983799489271</v>
      </c>
      <c r="F205" s="1085">
        <f>(SUM(E48:N48)/5)/-D48</f>
        <v>6.599016996693357</v>
      </c>
      <c r="G205" s="1085">
        <f>(SUM(E50:N50)/5)/-D50</f>
        <v>6.1478535739476854</v>
      </c>
      <c r="H205" s="1045"/>
      <c r="I205" s="1045"/>
      <c r="J205" s="1045"/>
      <c r="K205" s="1045"/>
      <c r="L205"/>
      <c r="M205"/>
      <c r="N205" s="648"/>
      <c r="Q205" s="648"/>
      <c r="R205" s="648"/>
      <c r="AA205" s="648"/>
      <c r="AB205" s="648"/>
    </row>
    <row r="206" spans="1:28" ht="15" x14ac:dyDescent="0.3">
      <c r="A206" s="1095"/>
      <c r="B206" s="1095"/>
      <c r="C206" s="1095"/>
      <c r="D206" s="1096"/>
      <c r="E206" s="1096"/>
      <c r="F206" s="1096"/>
      <c r="G206" s="1096"/>
      <c r="H206" s="1045"/>
      <c r="I206" s="1045"/>
      <c r="J206" s="1045"/>
      <c r="K206" s="1045"/>
      <c r="L206"/>
      <c r="M206"/>
      <c r="N206" s="648"/>
      <c r="Q206" s="648"/>
      <c r="R206" s="648"/>
      <c r="AA206" s="648"/>
      <c r="AB206" s="648"/>
    </row>
    <row r="207" spans="1:28" ht="15" x14ac:dyDescent="0.3">
      <c r="A207" s="1074"/>
      <c r="B207" s="1075"/>
      <c r="C207" s="1075"/>
      <c r="D207" s="1075">
        <v>10</v>
      </c>
      <c r="E207" s="1075">
        <f>$D$207-E209</f>
        <v>9</v>
      </c>
      <c r="F207" s="1075">
        <f>$D$207-F209</f>
        <v>8</v>
      </c>
      <c r="G207" s="1075">
        <f t="shared" ref="G207:N207" si="106">$D$207-G209</f>
        <v>7</v>
      </c>
      <c r="H207" s="1075">
        <f t="shared" si="106"/>
        <v>6</v>
      </c>
      <c r="I207" s="1075">
        <f t="shared" si="106"/>
        <v>5</v>
      </c>
      <c r="J207" s="1075">
        <f t="shared" si="106"/>
        <v>4</v>
      </c>
      <c r="K207" s="1075">
        <f t="shared" si="106"/>
        <v>3</v>
      </c>
      <c r="L207" s="1075">
        <f t="shared" si="106"/>
        <v>2</v>
      </c>
      <c r="M207" s="1075">
        <f t="shared" si="106"/>
        <v>1</v>
      </c>
      <c r="N207" s="1075">
        <f t="shared" si="106"/>
        <v>0</v>
      </c>
      <c r="Q207" s="648"/>
      <c r="R207" s="648"/>
      <c r="AA207" s="648"/>
      <c r="AB207" s="648"/>
    </row>
    <row r="208" spans="1:28" ht="16.5" x14ac:dyDescent="0.2">
      <c r="A208" s="1994" t="s">
        <v>506</v>
      </c>
      <c r="B208" s="1994"/>
      <c r="C208" s="1994"/>
      <c r="D208" s="1994"/>
      <c r="E208" s="1994"/>
      <c r="F208" s="1994"/>
      <c r="G208" s="1994"/>
      <c r="H208" s="1994"/>
      <c r="I208" s="1994"/>
      <c r="J208" s="1994"/>
      <c r="K208" s="1994"/>
      <c r="L208" s="1994"/>
      <c r="M208" s="1994"/>
      <c r="N208" s="1994"/>
      <c r="Q208" s="648"/>
      <c r="R208" s="648"/>
      <c r="AA208" s="648"/>
      <c r="AB208" s="648"/>
    </row>
    <row r="209" spans="1:29" ht="16.5" x14ac:dyDescent="0.2">
      <c r="A209" s="1854" t="s">
        <v>377</v>
      </c>
      <c r="B209" s="1854"/>
      <c r="C209" s="1092"/>
      <c r="D209" s="1411" t="s">
        <v>161</v>
      </c>
      <c r="E209" s="1411">
        <v>1</v>
      </c>
      <c r="F209" s="1411">
        <v>2</v>
      </c>
      <c r="G209" s="1411">
        <v>3</v>
      </c>
      <c r="H209" s="1411">
        <v>4</v>
      </c>
      <c r="I209" s="1411">
        <v>5</v>
      </c>
      <c r="J209" s="1411">
        <v>6</v>
      </c>
      <c r="K209" s="1411">
        <v>7</v>
      </c>
      <c r="L209" s="1411">
        <v>8</v>
      </c>
      <c r="M209" s="1412">
        <v>9</v>
      </c>
      <c r="N209" s="1412">
        <v>10</v>
      </c>
      <c r="Q209" s="648"/>
      <c r="R209" s="648"/>
      <c r="AA209" s="648"/>
      <c r="AB209" s="648"/>
    </row>
    <row r="210" spans="1:29" ht="16.5" x14ac:dyDescent="0.2">
      <c r="A210" s="1854"/>
      <c r="B210" s="1854"/>
      <c r="C210" s="1092"/>
      <c r="D210" s="1411">
        <f>+'17 Hoja de Trabajo'!$D$2</f>
        <v>2017</v>
      </c>
      <c r="E210" s="1411">
        <f>+D210</f>
        <v>2017</v>
      </c>
      <c r="F210" s="1411">
        <f>+E210+1</f>
        <v>2018</v>
      </c>
      <c r="G210" s="1411">
        <f t="shared" ref="G210:N210" si="107">+F210+1</f>
        <v>2019</v>
      </c>
      <c r="H210" s="1411">
        <f t="shared" si="107"/>
        <v>2020</v>
      </c>
      <c r="I210" s="1411">
        <f t="shared" si="107"/>
        <v>2021</v>
      </c>
      <c r="J210" s="1411">
        <f t="shared" si="107"/>
        <v>2022</v>
      </c>
      <c r="K210" s="1411">
        <f t="shared" si="107"/>
        <v>2023</v>
      </c>
      <c r="L210" s="1411">
        <f t="shared" si="107"/>
        <v>2024</v>
      </c>
      <c r="M210" s="1411">
        <f t="shared" si="107"/>
        <v>2025</v>
      </c>
      <c r="N210" s="1411">
        <f t="shared" si="107"/>
        <v>2026</v>
      </c>
      <c r="Q210" s="648"/>
      <c r="R210" s="648"/>
      <c r="AA210" s="648"/>
      <c r="AB210" s="1103" t="s">
        <v>508</v>
      </c>
      <c r="AC210" s="1104" t="s">
        <v>509</v>
      </c>
    </row>
    <row r="211" spans="1:29" ht="15" x14ac:dyDescent="0.3">
      <c r="A211" s="2007" t="s">
        <v>487</v>
      </c>
      <c r="B211" s="2007"/>
      <c r="C211" s="1078">
        <v>0</v>
      </c>
      <c r="D211" s="1061">
        <f t="shared" ref="D211:N215" si="108">D$42*(1+$C211)^D$207</f>
        <v>-2044000</v>
      </c>
      <c r="E211" s="1061">
        <f>E$42*(1+$C211)^E$207</f>
        <v>2668838.0086363629</v>
      </c>
      <c r="F211" s="1061">
        <f t="shared" si="108"/>
        <v>1360563.4126853421</v>
      </c>
      <c r="G211" s="1061">
        <f t="shared" si="108"/>
        <v>4851048.7661353685</v>
      </c>
      <c r="H211" s="1061">
        <f t="shared" si="108"/>
        <v>5311219.1466296464</v>
      </c>
      <c r="I211" s="1061">
        <f t="shared" si="108"/>
        <v>5959224.2382539064</v>
      </c>
      <c r="J211" s="1061">
        <f t="shared" si="108"/>
        <v>6633928.4408685863</v>
      </c>
      <c r="K211" s="1061">
        <f t="shared" si="108"/>
        <v>7002772.3462037258</v>
      </c>
      <c r="L211" s="1061">
        <f t="shared" si="108"/>
        <v>8771898.9691555277</v>
      </c>
      <c r="M211" s="1061">
        <f t="shared" si="108"/>
        <v>9902684.5697118267</v>
      </c>
      <c r="N211" s="1061">
        <f t="shared" si="108"/>
        <v>10222578.329759434</v>
      </c>
      <c r="Q211" s="648"/>
      <c r="R211" s="648"/>
      <c r="AA211" s="653"/>
      <c r="AB211" s="1098">
        <f>SUM(D211:N211)</f>
        <v>60640756.228039727</v>
      </c>
      <c r="AC211" s="1105">
        <f>+AB211-D211</f>
        <v>62684756.228039727</v>
      </c>
    </row>
    <row r="212" spans="1:29" ht="15" x14ac:dyDescent="0.3">
      <c r="A212" s="2007" t="s">
        <v>487</v>
      </c>
      <c r="B212" s="2007"/>
      <c r="C212" s="1078">
        <v>0.05</v>
      </c>
      <c r="D212" s="1061">
        <f t="shared" si="108"/>
        <v>-3329460.6171330907</v>
      </c>
      <c r="E212" s="1061">
        <f>E$42*(1+$C212)^E$207</f>
        <v>4140243.7066735034</v>
      </c>
      <c r="F212" s="1061">
        <f t="shared" si="108"/>
        <v>2010171.8206921837</v>
      </c>
      <c r="G212" s="1061">
        <f t="shared" si="108"/>
        <v>6825912.7691551587</v>
      </c>
      <c r="H212" s="1061">
        <f t="shared" si="108"/>
        <v>7117541.6248024218</v>
      </c>
      <c r="I212" s="1061">
        <f t="shared" si="108"/>
        <v>7605648.0220865691</v>
      </c>
      <c r="J212" s="1061">
        <f t="shared" si="108"/>
        <v>8063581.4819285218</v>
      </c>
      <c r="K212" s="1061">
        <f t="shared" si="108"/>
        <v>8106584.3372740885</v>
      </c>
      <c r="L212" s="1061">
        <f t="shared" si="108"/>
        <v>9671018.6134939697</v>
      </c>
      <c r="M212" s="1061">
        <f t="shared" si="108"/>
        <v>10397818.798197418</v>
      </c>
      <c r="N212" s="1061">
        <f t="shared" si="108"/>
        <v>10222578.329759434</v>
      </c>
      <c r="Q212" s="648"/>
      <c r="R212" s="648"/>
      <c r="AA212" s="653"/>
      <c r="AB212" s="1098">
        <f t="shared" ref="AB212:AB215" si="109">SUM(D212:N212)</f>
        <v>70831638.886930183</v>
      </c>
      <c r="AC212" s="1105">
        <f t="shared" ref="AC212:AC233" si="110">+AB212-D212</f>
        <v>74161099.504063278</v>
      </c>
    </row>
    <row r="213" spans="1:29" ht="15" x14ac:dyDescent="0.3">
      <c r="A213" s="2007" t="s">
        <v>487</v>
      </c>
      <c r="B213" s="2007"/>
      <c r="C213" s="1078">
        <v>0.1</v>
      </c>
      <c r="D213" s="1061">
        <f t="shared" si="108"/>
        <v>-5301609.5884444034</v>
      </c>
      <c r="E213" s="1061">
        <f t="shared" si="108"/>
        <v>6292980.4201171538</v>
      </c>
      <c r="F213" s="1061">
        <f t="shared" si="108"/>
        <v>2916488.5067277132</v>
      </c>
      <c r="G213" s="1061">
        <f t="shared" si="108"/>
        <v>9453321.6835018992</v>
      </c>
      <c r="H213" s="1061">
        <f t="shared" si="108"/>
        <v>9409148.7026223671</v>
      </c>
      <c r="I213" s="1061">
        <f t="shared" si="108"/>
        <v>9597390.2279503029</v>
      </c>
      <c r="J213" s="1061">
        <f t="shared" si="108"/>
        <v>9712734.6302757002</v>
      </c>
      <c r="K213" s="1061">
        <f t="shared" si="108"/>
        <v>9320689.9927971624</v>
      </c>
      <c r="L213" s="1061">
        <f t="shared" si="108"/>
        <v>10613997.752678189</v>
      </c>
      <c r="M213" s="1061">
        <f t="shared" si="108"/>
        <v>10892953.02668301</v>
      </c>
      <c r="N213" s="1061">
        <f t="shared" si="108"/>
        <v>10222578.329759434</v>
      </c>
      <c r="Q213" s="648"/>
      <c r="R213" s="648"/>
      <c r="AA213" s="653"/>
      <c r="AB213" s="1098">
        <f t="shared" si="109"/>
        <v>83130673.684668526</v>
      </c>
      <c r="AC213" s="1105">
        <f t="shared" si="110"/>
        <v>88432283.273112923</v>
      </c>
    </row>
    <row r="214" spans="1:29" ht="15" x14ac:dyDescent="0.3">
      <c r="A214" s="2007" t="s">
        <v>487</v>
      </c>
      <c r="B214" s="2007"/>
      <c r="C214" s="1078">
        <v>0.15</v>
      </c>
      <c r="D214" s="1061">
        <f t="shared" si="108"/>
        <v>-8269120.011786961</v>
      </c>
      <c r="E214" s="1061">
        <f t="shared" si="108"/>
        <v>9388641.9575566296</v>
      </c>
      <c r="F214" s="1061">
        <f t="shared" si="108"/>
        <v>4161994.5853386279</v>
      </c>
      <c r="G214" s="1061">
        <f t="shared" si="108"/>
        <v>12903886.159043472</v>
      </c>
      <c r="H214" s="1061">
        <f t="shared" si="108"/>
        <v>12285172.625705324</v>
      </c>
      <c r="I214" s="1061">
        <f t="shared" si="108"/>
        <v>11986128.503536204</v>
      </c>
      <c r="J214" s="1061">
        <f t="shared" si="108"/>
        <v>11602782.305131909</v>
      </c>
      <c r="K214" s="1061">
        <f t="shared" si="108"/>
        <v>10650341.392032588</v>
      </c>
      <c r="L214" s="1061">
        <f t="shared" si="108"/>
        <v>11600836.386708183</v>
      </c>
      <c r="M214" s="1061">
        <f t="shared" si="108"/>
        <v>11388087.2551686</v>
      </c>
      <c r="N214" s="1061">
        <f t="shared" si="108"/>
        <v>10222578.329759434</v>
      </c>
      <c r="Q214" s="648"/>
      <c r="R214" s="648"/>
      <c r="AA214" s="653"/>
      <c r="AB214" s="1098">
        <f t="shared" si="109"/>
        <v>97921329.488194004</v>
      </c>
      <c r="AC214" s="1105">
        <f t="shared" si="110"/>
        <v>106190449.49998097</v>
      </c>
    </row>
    <row r="215" spans="1:29" ht="15" x14ac:dyDescent="0.3">
      <c r="A215" s="2007" t="s">
        <v>487</v>
      </c>
      <c r="B215" s="2007"/>
      <c r="C215" s="1078">
        <v>0.2</v>
      </c>
      <c r="D215" s="1061">
        <f t="shared" si="108"/>
        <v>-12655909.247385599</v>
      </c>
      <c r="E215" s="1061">
        <f t="shared" si="108"/>
        <v>13770617.919632711</v>
      </c>
      <c r="F215" s="1061">
        <f t="shared" si="108"/>
        <v>5850173.6370199127</v>
      </c>
      <c r="G215" s="1061">
        <f t="shared" si="108"/>
        <v>17382184.79867994</v>
      </c>
      <c r="H215" s="1061">
        <f t="shared" si="108"/>
        <v>15859215.392329777</v>
      </c>
      <c r="I215" s="1061">
        <f t="shared" si="108"/>
        <v>14828456.856531959</v>
      </c>
      <c r="J215" s="1061">
        <f t="shared" si="108"/>
        <v>13756114.014985099</v>
      </c>
      <c r="K215" s="1061">
        <f t="shared" si="108"/>
        <v>12100790.614240037</v>
      </c>
      <c r="L215" s="1061">
        <f t="shared" si="108"/>
        <v>12631534.515583958</v>
      </c>
      <c r="M215" s="1061">
        <f t="shared" si="108"/>
        <v>11883221.483654192</v>
      </c>
      <c r="N215" s="1061">
        <f t="shared" si="108"/>
        <v>10222578.329759434</v>
      </c>
      <c r="Q215" s="648"/>
      <c r="R215" s="648"/>
      <c r="AA215" s="653"/>
      <c r="AB215" s="1098">
        <f t="shared" si="109"/>
        <v>115628978.31503142</v>
      </c>
      <c r="AC215" s="1105">
        <f t="shared" si="110"/>
        <v>128284887.56241703</v>
      </c>
    </row>
    <row r="216" spans="1:29" ht="15" x14ac:dyDescent="0.3">
      <c r="A216" s="1090"/>
      <c r="B216" s="1100"/>
      <c r="C216" s="768"/>
      <c r="D216" s="768"/>
      <c r="E216" s="768"/>
      <c r="F216" s="768"/>
      <c r="G216" s="768"/>
      <c r="H216" s="768"/>
      <c r="I216" s="768"/>
      <c r="J216" s="768"/>
      <c r="K216" s="768"/>
      <c r="L216" s="62"/>
      <c r="M216" s="62"/>
      <c r="N216" s="1101"/>
      <c r="Q216" s="648"/>
      <c r="R216" s="648"/>
      <c r="AA216" s="653"/>
      <c r="AB216" s="653"/>
      <c r="AC216" s="1105">
        <f t="shared" si="110"/>
        <v>0</v>
      </c>
    </row>
    <row r="217" spans="1:29" ht="15" x14ac:dyDescent="0.3">
      <c r="A217" s="2007" t="s">
        <v>489</v>
      </c>
      <c r="B217" s="2007"/>
      <c r="C217" s="768">
        <f>+C211</f>
        <v>0</v>
      </c>
      <c r="D217" s="1061">
        <f t="shared" ref="D217:N221" si="111">D$44*(1+$C217)^D$207</f>
        <v>-2194000</v>
      </c>
      <c r="E217" s="1061">
        <f t="shared" si="111"/>
        <v>2668838.0086363629</v>
      </c>
      <c r="F217" s="1061">
        <f t="shared" si="111"/>
        <v>1360563.4126853421</v>
      </c>
      <c r="G217" s="1061">
        <f t="shared" si="111"/>
        <v>4851048.7661353685</v>
      </c>
      <c r="H217" s="1061">
        <f t="shared" si="111"/>
        <v>5311219.1466296464</v>
      </c>
      <c r="I217" s="1061">
        <f t="shared" si="111"/>
        <v>5959224.2382539064</v>
      </c>
      <c r="J217" s="1061">
        <f t="shared" si="111"/>
        <v>6633928.4408685863</v>
      </c>
      <c r="K217" s="1061">
        <f t="shared" si="111"/>
        <v>7002772.3462037258</v>
      </c>
      <c r="L217" s="1061">
        <f t="shared" si="111"/>
        <v>8771898.9691555277</v>
      </c>
      <c r="M217" s="1061">
        <f t="shared" si="111"/>
        <v>9902684.5697118267</v>
      </c>
      <c r="N217" s="1061">
        <f>N$44*(1+$C217)^N$207</f>
        <v>10222578.329759434</v>
      </c>
      <c r="Q217" s="648"/>
      <c r="R217" s="648"/>
      <c r="AA217" s="653"/>
      <c r="AB217" s="1098">
        <f t="shared" ref="AB217:AB221" si="112">SUM(D217:N217)</f>
        <v>60490756.228039727</v>
      </c>
      <c r="AC217" s="1105">
        <f t="shared" si="110"/>
        <v>62684756.228039727</v>
      </c>
    </row>
    <row r="218" spans="1:29" ht="15" x14ac:dyDescent="0.3">
      <c r="A218" s="2007" t="s">
        <v>489</v>
      </c>
      <c r="B218" s="2007"/>
      <c r="C218" s="768">
        <f>+C212</f>
        <v>0.05</v>
      </c>
      <c r="D218" s="1061">
        <f t="shared" si="111"/>
        <v>-3573794.8111497066</v>
      </c>
      <c r="E218" s="1061">
        <f t="shared" si="111"/>
        <v>4140243.7066735034</v>
      </c>
      <c r="F218" s="1061">
        <f t="shared" si="111"/>
        <v>2010171.8206921837</v>
      </c>
      <c r="G218" s="1061">
        <f t="shared" si="111"/>
        <v>6825912.7691551587</v>
      </c>
      <c r="H218" s="1061">
        <f t="shared" si="111"/>
        <v>7117541.6248024218</v>
      </c>
      <c r="I218" s="1061">
        <f t="shared" si="111"/>
        <v>7605648.0220865691</v>
      </c>
      <c r="J218" s="1061">
        <f t="shared" si="111"/>
        <v>8063581.4819285218</v>
      </c>
      <c r="K218" s="1061">
        <f t="shared" si="111"/>
        <v>8106584.3372740885</v>
      </c>
      <c r="L218" s="1061">
        <f t="shared" si="111"/>
        <v>9671018.6134939697</v>
      </c>
      <c r="M218" s="1061">
        <f t="shared" si="111"/>
        <v>10397818.798197418</v>
      </c>
      <c r="N218" s="1061">
        <f t="shared" si="111"/>
        <v>10222578.329759434</v>
      </c>
      <c r="Q218" s="648"/>
      <c r="R218" s="648"/>
      <c r="AA218" s="653"/>
      <c r="AB218" s="1098">
        <f t="shared" si="112"/>
        <v>70587304.692913562</v>
      </c>
      <c r="AC218" s="1105">
        <f t="shared" si="110"/>
        <v>74161099.504063264</v>
      </c>
    </row>
    <row r="219" spans="1:29" ht="15" x14ac:dyDescent="0.3">
      <c r="A219" s="2007" t="s">
        <v>489</v>
      </c>
      <c r="B219" s="2007"/>
      <c r="C219" s="768">
        <f>+C213</f>
        <v>0.1</v>
      </c>
      <c r="D219" s="1061">
        <f t="shared" si="111"/>
        <v>-5690670.9574594041</v>
      </c>
      <c r="E219" s="1061">
        <f t="shared" si="111"/>
        <v>6292980.4201171538</v>
      </c>
      <c r="F219" s="1061">
        <f t="shared" si="111"/>
        <v>2916488.5067277132</v>
      </c>
      <c r="G219" s="1061">
        <f t="shared" si="111"/>
        <v>9453321.6835018992</v>
      </c>
      <c r="H219" s="1061">
        <f t="shared" si="111"/>
        <v>9409148.7026223671</v>
      </c>
      <c r="I219" s="1061">
        <f t="shared" si="111"/>
        <v>9597390.2279503029</v>
      </c>
      <c r="J219" s="1061">
        <f t="shared" si="111"/>
        <v>9712734.6302757002</v>
      </c>
      <c r="K219" s="1061">
        <f t="shared" si="111"/>
        <v>9320689.9927971624</v>
      </c>
      <c r="L219" s="1061">
        <f t="shared" si="111"/>
        <v>10613997.752678189</v>
      </c>
      <c r="M219" s="1061">
        <f t="shared" si="111"/>
        <v>10892953.02668301</v>
      </c>
      <c r="N219" s="1061">
        <f t="shared" si="111"/>
        <v>10222578.329759434</v>
      </c>
      <c r="Q219" s="648"/>
      <c r="R219" s="648"/>
      <c r="AA219" s="653"/>
      <c r="AB219" s="1098">
        <f t="shared" si="112"/>
        <v>82741612.315653518</v>
      </c>
      <c r="AC219" s="1105">
        <f t="shared" si="110"/>
        <v>88432283.273112923</v>
      </c>
    </row>
    <row r="220" spans="1:29" ht="15" x14ac:dyDescent="0.3">
      <c r="A220" s="2007" t="s">
        <v>489</v>
      </c>
      <c r="B220" s="2007"/>
      <c r="C220" s="768">
        <f>+C214</f>
        <v>0.15</v>
      </c>
      <c r="D220" s="1061">
        <f t="shared" si="111"/>
        <v>-8875953.6721431464</v>
      </c>
      <c r="E220" s="1061">
        <f t="shared" si="111"/>
        <v>9388641.9575566296</v>
      </c>
      <c r="F220" s="1061">
        <f t="shared" si="111"/>
        <v>4161994.5853386279</v>
      </c>
      <c r="G220" s="1061">
        <f t="shared" si="111"/>
        <v>12903886.159043472</v>
      </c>
      <c r="H220" s="1061">
        <f t="shared" si="111"/>
        <v>12285172.625705324</v>
      </c>
      <c r="I220" s="1061">
        <f t="shared" si="111"/>
        <v>11986128.503536204</v>
      </c>
      <c r="J220" s="1061">
        <f t="shared" si="111"/>
        <v>11602782.305131909</v>
      </c>
      <c r="K220" s="1061">
        <f t="shared" si="111"/>
        <v>10650341.392032588</v>
      </c>
      <c r="L220" s="1061">
        <f t="shared" si="111"/>
        <v>11600836.386708183</v>
      </c>
      <c r="M220" s="1061">
        <f t="shared" si="111"/>
        <v>11388087.2551686</v>
      </c>
      <c r="N220" s="1061">
        <f t="shared" si="111"/>
        <v>10222578.329759434</v>
      </c>
      <c r="Q220" s="648"/>
      <c r="R220" s="648"/>
      <c r="AA220" s="653"/>
      <c r="AB220" s="1098">
        <f t="shared" si="112"/>
        <v>97314495.827837825</v>
      </c>
      <c r="AC220" s="1105">
        <f t="shared" si="110"/>
        <v>106190449.49998097</v>
      </c>
    </row>
    <row r="221" spans="1:29" ht="15" x14ac:dyDescent="0.3">
      <c r="A221" s="2007" t="s">
        <v>489</v>
      </c>
      <c r="B221" s="2007"/>
      <c r="C221" s="768">
        <f>+C215</f>
        <v>0.2</v>
      </c>
      <c r="D221" s="1061">
        <f t="shared" si="111"/>
        <v>-13584669.710745597</v>
      </c>
      <c r="E221" s="1061">
        <f t="shared" si="111"/>
        <v>13770617.919632711</v>
      </c>
      <c r="F221" s="1061">
        <f t="shared" si="111"/>
        <v>5850173.6370199127</v>
      </c>
      <c r="G221" s="1061">
        <f t="shared" si="111"/>
        <v>17382184.79867994</v>
      </c>
      <c r="H221" s="1061">
        <f t="shared" si="111"/>
        <v>15859215.392329777</v>
      </c>
      <c r="I221" s="1061">
        <f t="shared" si="111"/>
        <v>14828456.856531959</v>
      </c>
      <c r="J221" s="1061">
        <f t="shared" si="111"/>
        <v>13756114.014985099</v>
      </c>
      <c r="K221" s="1061">
        <f t="shared" si="111"/>
        <v>12100790.614240037</v>
      </c>
      <c r="L221" s="1061">
        <f t="shared" si="111"/>
        <v>12631534.515583958</v>
      </c>
      <c r="M221" s="1061">
        <f t="shared" si="111"/>
        <v>11883221.483654192</v>
      </c>
      <c r="N221" s="1061">
        <f t="shared" si="111"/>
        <v>10222578.329759434</v>
      </c>
      <c r="Q221" s="648"/>
      <c r="R221" s="648"/>
      <c r="AA221" s="653"/>
      <c r="AB221" s="1098">
        <f t="shared" si="112"/>
        <v>114700217.85167141</v>
      </c>
      <c r="AC221" s="1105">
        <f t="shared" si="110"/>
        <v>128284887.56241702</v>
      </c>
    </row>
    <row r="222" spans="1:29" ht="15" x14ac:dyDescent="0.3">
      <c r="A222" s="1090"/>
      <c r="B222" s="1100"/>
      <c r="C222" s="768"/>
      <c r="D222" s="1061"/>
      <c r="E222" s="1061"/>
      <c r="F222" s="1061"/>
      <c r="G222" s="1061"/>
      <c r="H222" s="1061"/>
      <c r="I222" s="1061"/>
      <c r="J222" s="1061"/>
      <c r="K222" s="1061"/>
      <c r="L222" s="1102"/>
      <c r="M222" s="1102"/>
      <c r="N222" s="1061"/>
      <c r="Q222" s="648"/>
      <c r="R222" s="648"/>
      <c r="AA222" s="653"/>
      <c r="AB222" s="653"/>
      <c r="AC222" s="1105">
        <f t="shared" si="110"/>
        <v>0</v>
      </c>
    </row>
    <row r="223" spans="1:29" ht="15" x14ac:dyDescent="0.3">
      <c r="A223" s="2007" t="s">
        <v>490</v>
      </c>
      <c r="B223" s="2007"/>
      <c r="C223" s="768">
        <f>+C217</f>
        <v>0</v>
      </c>
      <c r="D223" s="1061">
        <f t="shared" ref="D223:N227" si="113">D$48*(1+$C223)^D$207</f>
        <v>-2044000</v>
      </c>
      <c r="E223" s="1061">
        <f t="shared" si="113"/>
        <v>2025657.5264605943</v>
      </c>
      <c r="F223" s="1061">
        <f t="shared" si="113"/>
        <v>4400505.447220468</v>
      </c>
      <c r="G223" s="1061">
        <f t="shared" si="113"/>
        <v>4933424.6934959143</v>
      </c>
      <c r="H223" s="1061">
        <f t="shared" si="113"/>
        <v>5536741.7851982443</v>
      </c>
      <c r="I223" s="1061">
        <f t="shared" si="113"/>
        <v>6204061.6848831177</v>
      </c>
      <c r="J223" s="1061">
        <f t="shared" si="113"/>
        <v>6666152.107124351</v>
      </c>
      <c r="K223" s="1061">
        <f t="shared" si="113"/>
        <v>8239915.2414545007</v>
      </c>
      <c r="L223" s="1061">
        <f t="shared" si="113"/>
        <v>8995644.1509125177</v>
      </c>
      <c r="M223" s="1061">
        <f t="shared" si="113"/>
        <v>9774935.9384547863</v>
      </c>
      <c r="N223" s="1061">
        <f t="shared" si="113"/>
        <v>10664915.131001618</v>
      </c>
      <c r="Q223" s="648"/>
      <c r="R223" s="648"/>
      <c r="AA223" s="653"/>
      <c r="AB223" s="1098">
        <f t="shared" ref="AB223:AB227" si="114">SUM(D223:N223)</f>
        <v>65397953.706206113</v>
      </c>
      <c r="AC223" s="1105">
        <f t="shared" si="110"/>
        <v>67441953.706206113</v>
      </c>
    </row>
    <row r="224" spans="1:29" ht="15" x14ac:dyDescent="0.3">
      <c r="A224" s="2007" t="s">
        <v>490</v>
      </c>
      <c r="B224" s="2007"/>
      <c r="C224" s="768">
        <f>+C218</f>
        <v>0.05</v>
      </c>
      <c r="D224" s="1061">
        <f t="shared" si="113"/>
        <v>-3329460.6171330907</v>
      </c>
      <c r="E224" s="1061">
        <f t="shared" si="113"/>
        <v>3142459.6767075667</v>
      </c>
      <c r="F224" s="1061">
        <f t="shared" si="113"/>
        <v>6501550.7284193039</v>
      </c>
      <c r="G224" s="1061">
        <f t="shared" si="113"/>
        <v>6941823.9713608827</v>
      </c>
      <c r="H224" s="1061">
        <f t="shared" si="113"/>
        <v>7419763.5296104476</v>
      </c>
      <c r="I224" s="1061">
        <f t="shared" si="113"/>
        <v>7918129.541029009</v>
      </c>
      <c r="J224" s="1061">
        <f t="shared" si="113"/>
        <v>8102749.5496603185</v>
      </c>
      <c r="K224" s="1061">
        <f t="shared" si="113"/>
        <v>9538731.8813887667</v>
      </c>
      <c r="L224" s="1061">
        <f t="shared" si="113"/>
        <v>9917697.6763810515</v>
      </c>
      <c r="M224" s="1061">
        <f t="shared" si="113"/>
        <v>10263682.735377526</v>
      </c>
      <c r="N224" s="1061">
        <f t="shared" si="113"/>
        <v>10664915.131001618</v>
      </c>
      <c r="Q224" s="648"/>
      <c r="R224" s="648"/>
      <c r="AA224" s="653"/>
      <c r="AB224" s="1098">
        <f t="shared" si="114"/>
        <v>77082043.803803399</v>
      </c>
      <c r="AC224" s="1105">
        <f t="shared" si="110"/>
        <v>80411504.420936495</v>
      </c>
    </row>
    <row r="225" spans="1:29" ht="15" x14ac:dyDescent="0.3">
      <c r="A225" s="2007" t="s">
        <v>490</v>
      </c>
      <c r="B225" s="2007"/>
      <c r="C225" s="768">
        <f>+C219</f>
        <v>0.1</v>
      </c>
      <c r="D225" s="1061">
        <f t="shared" si="113"/>
        <v>-5301609.5884444034</v>
      </c>
      <c r="E225" s="1061">
        <f t="shared" si="113"/>
        <v>4776394.4872745322</v>
      </c>
      <c r="F225" s="1061">
        <f t="shared" si="113"/>
        <v>9432874.2350058462</v>
      </c>
      <c r="G225" s="1061">
        <f t="shared" si="113"/>
        <v>9613849.0617777538</v>
      </c>
      <c r="H225" s="1061">
        <f t="shared" si="113"/>
        <v>9808675.8137275912</v>
      </c>
      <c r="I225" s="1061">
        <f t="shared" si="113"/>
        <v>9991703.3841211125</v>
      </c>
      <c r="J225" s="1061">
        <f t="shared" si="113"/>
        <v>9759913.3000407647</v>
      </c>
      <c r="K225" s="1061">
        <f t="shared" si="113"/>
        <v>10967327.186375944</v>
      </c>
      <c r="L225" s="1061">
        <f t="shared" si="113"/>
        <v>10884729.422604147</v>
      </c>
      <c r="M225" s="1061">
        <f t="shared" si="113"/>
        <v>10752429.532300266</v>
      </c>
      <c r="N225" s="1061">
        <f t="shared" si="113"/>
        <v>10664915.131001618</v>
      </c>
      <c r="Q225" s="648"/>
      <c r="R225" s="648"/>
      <c r="AA225" s="653"/>
      <c r="AB225" s="1098">
        <f t="shared" si="114"/>
        <v>91351201.965785176</v>
      </c>
      <c r="AC225" s="1105">
        <f t="shared" si="110"/>
        <v>96652811.554229572</v>
      </c>
    </row>
    <row r="226" spans="1:29" ht="15" x14ac:dyDescent="0.3">
      <c r="A226" s="2007" t="s">
        <v>490</v>
      </c>
      <c r="B226" s="2007"/>
      <c r="C226" s="768">
        <f>+C220</f>
        <v>0.15</v>
      </c>
      <c r="D226" s="1061">
        <f t="shared" si="113"/>
        <v>-8269120.011786961</v>
      </c>
      <c r="E226" s="1061">
        <f t="shared" si="113"/>
        <v>7126012.5878848704</v>
      </c>
      <c r="F226" s="1061">
        <f t="shared" si="113"/>
        <v>13461246.769775083</v>
      </c>
      <c r="G226" s="1061">
        <f t="shared" si="113"/>
        <v>13123007.763494574</v>
      </c>
      <c r="H226" s="1061">
        <f t="shared" si="113"/>
        <v>12806820.192738576</v>
      </c>
      <c r="I226" s="1061">
        <f t="shared" si="113"/>
        <v>12478584.061583014</v>
      </c>
      <c r="J226" s="1061">
        <f t="shared" si="113"/>
        <v>11659141.698811155</v>
      </c>
      <c r="K226" s="1061">
        <f t="shared" si="113"/>
        <v>12531881.092847111</v>
      </c>
      <c r="L226" s="1061">
        <f t="shared" si="113"/>
        <v>11896739.389581803</v>
      </c>
      <c r="M226" s="1061">
        <f t="shared" si="113"/>
        <v>11241176.329223003</v>
      </c>
      <c r="N226" s="1061">
        <f t="shared" si="113"/>
        <v>10664915.131001618</v>
      </c>
      <c r="Q226" s="648"/>
      <c r="R226" s="648"/>
      <c r="AA226" s="653"/>
      <c r="AB226" s="1098">
        <f t="shared" si="114"/>
        <v>108720405.00515385</v>
      </c>
      <c r="AC226" s="1105">
        <f t="shared" si="110"/>
        <v>116989525.01694082</v>
      </c>
    </row>
    <row r="227" spans="1:29" ht="15" x14ac:dyDescent="0.3">
      <c r="A227" s="2007" t="s">
        <v>490</v>
      </c>
      <c r="B227" s="2007"/>
      <c r="C227" s="768">
        <f>+C221</f>
        <v>0.2</v>
      </c>
      <c r="D227" s="1061">
        <f t="shared" si="113"/>
        <v>-12655909.247385599</v>
      </c>
      <c r="E227" s="1061">
        <f t="shared" si="113"/>
        <v>10451947.904912293</v>
      </c>
      <c r="F227" s="1061">
        <f t="shared" si="113"/>
        <v>18921367.954530951</v>
      </c>
      <c r="G227" s="1061">
        <f t="shared" si="113"/>
        <v>17677352.639980443</v>
      </c>
      <c r="H227" s="1061">
        <f t="shared" si="113"/>
        <v>16532622.382733393</v>
      </c>
      <c r="I227" s="1061">
        <f t="shared" si="113"/>
        <v>15437690.771728359</v>
      </c>
      <c r="J227" s="1061">
        <f t="shared" si="113"/>
        <v>13822933.009333054</v>
      </c>
      <c r="K227" s="1061">
        <f t="shared" si="113"/>
        <v>14238573.537233377</v>
      </c>
      <c r="L227" s="1061">
        <f t="shared" si="113"/>
        <v>12953727.577314025</v>
      </c>
      <c r="M227" s="1061">
        <f t="shared" si="113"/>
        <v>11729923.126145743</v>
      </c>
      <c r="N227" s="1061">
        <f t="shared" si="113"/>
        <v>10664915.131001618</v>
      </c>
      <c r="Q227" s="648"/>
      <c r="R227" s="648"/>
      <c r="AA227" s="653"/>
      <c r="AB227" s="1098">
        <f t="shared" si="114"/>
        <v>129775144.78752765</v>
      </c>
      <c r="AC227" s="1105">
        <f t="shared" si="110"/>
        <v>142431054.03491324</v>
      </c>
    </row>
    <row r="228" spans="1:29" ht="15" x14ac:dyDescent="0.3">
      <c r="A228" s="1090"/>
      <c r="B228" s="1100"/>
      <c r="C228" s="768"/>
      <c r="D228" s="1061"/>
      <c r="E228" s="1061"/>
      <c r="F228" s="1061"/>
      <c r="G228" s="1061"/>
      <c r="H228" s="1061"/>
      <c r="I228" s="1061"/>
      <c r="J228" s="1061"/>
      <c r="K228" s="1061"/>
      <c r="L228" s="1102"/>
      <c r="M228" s="1102"/>
      <c r="N228" s="1061"/>
      <c r="Q228" s="648"/>
      <c r="R228" s="648"/>
      <c r="AA228" s="653"/>
      <c r="AB228" s="653"/>
      <c r="AC228" s="1105">
        <f t="shared" si="110"/>
        <v>0</v>
      </c>
    </row>
    <row r="229" spans="1:29" ht="15" x14ac:dyDescent="0.3">
      <c r="A229" s="2007" t="s">
        <v>491</v>
      </c>
      <c r="B229" s="2007"/>
      <c r="C229" s="768">
        <f>+C223</f>
        <v>0</v>
      </c>
      <c r="D229" s="1061">
        <f t="shared" ref="D229:N233" si="115">D$50*(1+$C229)^D$207</f>
        <v>-2194000</v>
      </c>
      <c r="E229" s="1061">
        <f t="shared" si="115"/>
        <v>2025657.5264605943</v>
      </c>
      <c r="F229" s="1061">
        <f t="shared" si="115"/>
        <v>4400505.447220468</v>
      </c>
      <c r="G229" s="1061">
        <f t="shared" si="115"/>
        <v>4933424.6934959143</v>
      </c>
      <c r="H229" s="1061">
        <f t="shared" si="115"/>
        <v>5536741.7851982443</v>
      </c>
      <c r="I229" s="1061">
        <f t="shared" si="115"/>
        <v>6204061.6848831177</v>
      </c>
      <c r="J229" s="1061">
        <f t="shared" si="115"/>
        <v>6666152.107124351</v>
      </c>
      <c r="K229" s="1061">
        <f t="shared" si="115"/>
        <v>8239915.2414545007</v>
      </c>
      <c r="L229" s="1061">
        <f t="shared" si="115"/>
        <v>8995644.1509125177</v>
      </c>
      <c r="M229" s="1061">
        <f t="shared" si="115"/>
        <v>9774935.9384547863</v>
      </c>
      <c r="N229" s="1061">
        <f t="shared" si="115"/>
        <v>10664915.131001618</v>
      </c>
      <c r="Q229" s="648"/>
      <c r="R229" s="648"/>
      <c r="AA229" s="653"/>
      <c r="AB229" s="1098">
        <f t="shared" ref="AB229:AB233" si="116">SUM(D229:N229)</f>
        <v>65247953.706206113</v>
      </c>
      <c r="AC229" s="1105">
        <f t="shared" si="110"/>
        <v>67441953.706206113</v>
      </c>
    </row>
    <row r="230" spans="1:29" ht="15" x14ac:dyDescent="0.3">
      <c r="A230" s="2007" t="s">
        <v>491</v>
      </c>
      <c r="B230" s="2007"/>
      <c r="C230" s="768">
        <f>+C224</f>
        <v>0.05</v>
      </c>
      <c r="D230" s="1061">
        <f t="shared" si="115"/>
        <v>-3573794.8111497066</v>
      </c>
      <c r="E230" s="1061">
        <f t="shared" si="115"/>
        <v>3142459.6767075667</v>
      </c>
      <c r="F230" s="1061">
        <f t="shared" si="115"/>
        <v>6501550.7284193039</v>
      </c>
      <c r="G230" s="1061">
        <f t="shared" si="115"/>
        <v>6941823.9713608827</v>
      </c>
      <c r="H230" s="1061">
        <f t="shared" si="115"/>
        <v>7419763.5296104476</v>
      </c>
      <c r="I230" s="1061">
        <f t="shared" si="115"/>
        <v>7918129.541029009</v>
      </c>
      <c r="J230" s="1061">
        <f t="shared" si="115"/>
        <v>8102749.5496603185</v>
      </c>
      <c r="K230" s="1061">
        <f t="shared" si="115"/>
        <v>9538731.8813887667</v>
      </c>
      <c r="L230" s="1061">
        <f t="shared" si="115"/>
        <v>9917697.6763810515</v>
      </c>
      <c r="M230" s="1061">
        <f t="shared" si="115"/>
        <v>10263682.735377526</v>
      </c>
      <c r="N230" s="1061">
        <f t="shared" si="115"/>
        <v>10664915.131001618</v>
      </c>
      <c r="Q230" s="648"/>
      <c r="R230" s="648"/>
      <c r="AA230" s="653"/>
      <c r="AB230" s="1098">
        <f t="shared" si="116"/>
        <v>76837709.609786794</v>
      </c>
      <c r="AC230" s="1105">
        <f t="shared" si="110"/>
        <v>80411504.420936495</v>
      </c>
    </row>
    <row r="231" spans="1:29" ht="15" x14ac:dyDescent="0.3">
      <c r="A231" s="2007" t="s">
        <v>491</v>
      </c>
      <c r="B231" s="2007"/>
      <c r="C231" s="768">
        <f>+C225</f>
        <v>0.1</v>
      </c>
      <c r="D231" s="1061">
        <f t="shared" si="115"/>
        <v>-5690670.9574594041</v>
      </c>
      <c r="E231" s="1061">
        <f t="shared" si="115"/>
        <v>4776394.4872745322</v>
      </c>
      <c r="F231" s="1061">
        <f t="shared" si="115"/>
        <v>9432874.2350058462</v>
      </c>
      <c r="G231" s="1061">
        <f t="shared" si="115"/>
        <v>9613849.0617777538</v>
      </c>
      <c r="H231" s="1061">
        <f t="shared" si="115"/>
        <v>9808675.8137275912</v>
      </c>
      <c r="I231" s="1061">
        <f t="shared" si="115"/>
        <v>9991703.3841211125</v>
      </c>
      <c r="J231" s="1061">
        <f t="shared" si="115"/>
        <v>9759913.3000407647</v>
      </c>
      <c r="K231" s="1061">
        <f t="shared" si="115"/>
        <v>10967327.186375944</v>
      </c>
      <c r="L231" s="1061">
        <f t="shared" si="115"/>
        <v>10884729.422604147</v>
      </c>
      <c r="M231" s="1061">
        <f t="shared" si="115"/>
        <v>10752429.532300266</v>
      </c>
      <c r="N231" s="1061">
        <f t="shared" si="115"/>
        <v>10664915.131001618</v>
      </c>
      <c r="Q231" s="648"/>
      <c r="R231" s="648"/>
      <c r="AA231" s="653"/>
      <c r="AB231" s="1098">
        <f t="shared" si="116"/>
        <v>90962140.596770167</v>
      </c>
      <c r="AC231" s="1105">
        <f t="shared" si="110"/>
        <v>96652811.554229572</v>
      </c>
    </row>
    <row r="232" spans="1:29" ht="15" x14ac:dyDescent="0.3">
      <c r="A232" s="2007" t="s">
        <v>491</v>
      </c>
      <c r="B232" s="2007"/>
      <c r="C232" s="768">
        <f>+C226</f>
        <v>0.15</v>
      </c>
      <c r="D232" s="1061">
        <f t="shared" si="115"/>
        <v>-8875953.6721431464</v>
      </c>
      <c r="E232" s="1061">
        <f t="shared" si="115"/>
        <v>7126012.5878848704</v>
      </c>
      <c r="F232" s="1061">
        <f t="shared" si="115"/>
        <v>13461246.769775083</v>
      </c>
      <c r="G232" s="1061">
        <f t="shared" si="115"/>
        <v>13123007.763494574</v>
      </c>
      <c r="H232" s="1061">
        <f t="shared" si="115"/>
        <v>12806820.192738576</v>
      </c>
      <c r="I232" s="1061">
        <f t="shared" si="115"/>
        <v>12478584.061583014</v>
      </c>
      <c r="J232" s="1061">
        <f t="shared" si="115"/>
        <v>11659141.698811155</v>
      </c>
      <c r="K232" s="1061">
        <f t="shared" si="115"/>
        <v>12531881.092847111</v>
      </c>
      <c r="L232" s="1061">
        <f t="shared" si="115"/>
        <v>11896739.389581803</v>
      </c>
      <c r="M232" s="1061">
        <f t="shared" si="115"/>
        <v>11241176.329223003</v>
      </c>
      <c r="N232" s="1061">
        <f t="shared" si="115"/>
        <v>10664915.131001618</v>
      </c>
      <c r="Q232" s="648"/>
      <c r="R232" s="648"/>
      <c r="AA232" s="653"/>
      <c r="AB232" s="1098">
        <f t="shared" si="116"/>
        <v>108113571.34479766</v>
      </c>
      <c r="AC232" s="1105">
        <f t="shared" si="110"/>
        <v>116989525.0169408</v>
      </c>
    </row>
    <row r="233" spans="1:29" ht="15" x14ac:dyDescent="0.3">
      <c r="A233" s="2007" t="s">
        <v>491</v>
      </c>
      <c r="B233" s="2007"/>
      <c r="C233" s="768">
        <f>+C227</f>
        <v>0.2</v>
      </c>
      <c r="D233" s="1061">
        <f t="shared" si="115"/>
        <v>-13584669.710745597</v>
      </c>
      <c r="E233" s="1061">
        <f t="shared" si="115"/>
        <v>10451947.904912293</v>
      </c>
      <c r="F233" s="1061">
        <f t="shared" si="115"/>
        <v>18921367.954530951</v>
      </c>
      <c r="G233" s="1061">
        <f t="shared" si="115"/>
        <v>17677352.639980443</v>
      </c>
      <c r="H233" s="1061">
        <f t="shared" si="115"/>
        <v>16532622.382733393</v>
      </c>
      <c r="I233" s="1061">
        <f t="shared" si="115"/>
        <v>15437690.771728359</v>
      </c>
      <c r="J233" s="1061">
        <f t="shared" si="115"/>
        <v>13822933.009333054</v>
      </c>
      <c r="K233" s="1061">
        <f t="shared" si="115"/>
        <v>14238573.537233377</v>
      </c>
      <c r="L233" s="1061">
        <f t="shared" si="115"/>
        <v>12953727.577314025</v>
      </c>
      <c r="M233" s="1061">
        <f t="shared" si="115"/>
        <v>11729923.126145743</v>
      </c>
      <c r="N233" s="1061">
        <f t="shared" si="115"/>
        <v>10664915.131001618</v>
      </c>
      <c r="Q233" s="648"/>
      <c r="R233" s="648"/>
      <c r="AA233" s="653"/>
      <c r="AB233" s="1098">
        <f t="shared" si="116"/>
        <v>128846384.32416767</v>
      </c>
      <c r="AC233" s="1105">
        <f t="shared" si="110"/>
        <v>142431054.03491327</v>
      </c>
    </row>
    <row r="234" spans="1:29" ht="15" x14ac:dyDescent="0.3">
      <c r="A234" s="1093"/>
      <c r="B234" s="1093"/>
      <c r="C234" s="1045"/>
      <c r="D234" s="1073"/>
      <c r="E234" s="3"/>
      <c r="F234" s="3"/>
      <c r="G234" s="3"/>
      <c r="H234" s="1045"/>
      <c r="I234" s="1045"/>
      <c r="J234" s="1045"/>
      <c r="K234" s="1045"/>
      <c r="L234"/>
      <c r="M234"/>
      <c r="N234" s="648"/>
      <c r="O234" s="648"/>
      <c r="P234" s="648"/>
      <c r="Q234" s="648"/>
      <c r="R234" s="648"/>
    </row>
    <row r="235" spans="1:29" ht="16.5" x14ac:dyDescent="0.3">
      <c r="A235" s="1994" t="s">
        <v>507</v>
      </c>
      <c r="B235" s="1994"/>
      <c r="C235" s="1994"/>
      <c r="D235" s="1994"/>
      <c r="E235" s="1994"/>
      <c r="F235" s="1994"/>
      <c r="G235" s="1994"/>
      <c r="H235" s="1045"/>
      <c r="I235" s="1045"/>
      <c r="J235" s="1045"/>
      <c r="K235" s="1045"/>
      <c r="L235"/>
      <c r="M235"/>
      <c r="N235" s="648"/>
      <c r="O235" s="648"/>
      <c r="P235" s="648"/>
      <c r="Q235" s="648"/>
      <c r="R235" s="648"/>
    </row>
    <row r="236" spans="1:29" ht="15" x14ac:dyDescent="0.3">
      <c r="A236" s="1995" t="s">
        <v>136</v>
      </c>
      <c r="B236" s="1996"/>
      <c r="C236" s="1997"/>
      <c r="D236" s="2001" t="s">
        <v>486</v>
      </c>
      <c r="E236" s="2001"/>
      <c r="F236" s="2001" t="s">
        <v>478</v>
      </c>
      <c r="G236" s="2001"/>
      <c r="H236" s="1045"/>
      <c r="I236" s="1045"/>
      <c r="J236" s="1045"/>
      <c r="K236" s="1045"/>
      <c r="L236"/>
      <c r="M236"/>
      <c r="N236" s="648"/>
      <c r="O236" s="648"/>
      <c r="P236" s="648"/>
      <c r="Q236" s="648"/>
      <c r="R236" s="648"/>
    </row>
    <row r="237" spans="1:29" ht="15" x14ac:dyDescent="0.3">
      <c r="A237" s="1998"/>
      <c r="B237" s="1999"/>
      <c r="C237" s="2000"/>
      <c r="D237" s="1089" t="s">
        <v>476</v>
      </c>
      <c r="E237" s="1089" t="s">
        <v>477</v>
      </c>
      <c r="F237" s="1089" t="s">
        <v>476</v>
      </c>
      <c r="G237" s="1089" t="s">
        <v>477</v>
      </c>
      <c r="H237" s="1045"/>
      <c r="I237" s="1045"/>
      <c r="J237" s="1045"/>
      <c r="K237" s="1045"/>
      <c r="L237"/>
      <c r="M237"/>
      <c r="N237" s="648"/>
      <c r="O237" s="648"/>
      <c r="P237" s="648"/>
      <c r="Q237" s="648"/>
      <c r="R237" s="648"/>
    </row>
    <row r="238" spans="1:29" ht="15" x14ac:dyDescent="0.3">
      <c r="A238" s="1077" t="s">
        <v>510</v>
      </c>
      <c r="B238" s="1059"/>
      <c r="C238" s="30">
        <f>+C229</f>
        <v>0</v>
      </c>
      <c r="D238" s="965">
        <f>+AB211</f>
        <v>60640756.228039727</v>
      </c>
      <c r="E238" s="965">
        <f>+AB217</f>
        <v>60490756.228039727</v>
      </c>
      <c r="F238" s="965">
        <f>+AB223</f>
        <v>65397953.706206113</v>
      </c>
      <c r="G238" s="965">
        <f>+AB229</f>
        <v>65247953.706206113</v>
      </c>
      <c r="H238" s="1045"/>
      <c r="I238" s="1045"/>
      <c r="J238" s="1045"/>
      <c r="K238" s="1045"/>
      <c r="L238"/>
      <c r="M238"/>
      <c r="N238" s="648"/>
      <c r="O238" s="648"/>
      <c r="P238" s="648"/>
      <c r="Q238" s="648"/>
      <c r="R238" s="648"/>
    </row>
    <row r="239" spans="1:29" ht="15" x14ac:dyDescent="0.3">
      <c r="A239" s="1077" t="s">
        <v>510</v>
      </c>
      <c r="B239" s="1059"/>
      <c r="C239" s="30">
        <f>+C230</f>
        <v>0.05</v>
      </c>
      <c r="D239" s="965">
        <f>+AB212</f>
        <v>70831638.886930183</v>
      </c>
      <c r="E239" s="965">
        <f>+AB218</f>
        <v>70587304.692913562</v>
      </c>
      <c r="F239" s="965">
        <f>+AB224</f>
        <v>77082043.803803399</v>
      </c>
      <c r="G239" s="965">
        <f>+AB230</f>
        <v>76837709.609786794</v>
      </c>
      <c r="H239" s="1045"/>
      <c r="I239" s="1045"/>
      <c r="J239" s="1045"/>
      <c r="K239" s="1045"/>
      <c r="L239"/>
      <c r="M239"/>
      <c r="N239" s="648"/>
      <c r="O239" s="648"/>
      <c r="P239" s="648"/>
      <c r="Q239" s="648"/>
      <c r="R239" s="648"/>
    </row>
    <row r="240" spans="1:29" ht="15" x14ac:dyDescent="0.3">
      <c r="A240" s="1077" t="s">
        <v>510</v>
      </c>
      <c r="B240" s="1059"/>
      <c r="C240" s="30">
        <f>+C231</f>
        <v>0.1</v>
      </c>
      <c r="D240" s="965">
        <f>+AB213</f>
        <v>83130673.684668526</v>
      </c>
      <c r="E240" s="965">
        <f>+AB219</f>
        <v>82741612.315653518</v>
      </c>
      <c r="F240" s="965">
        <f>+AB225</f>
        <v>91351201.965785176</v>
      </c>
      <c r="G240" s="965">
        <f>+AB231</f>
        <v>90962140.596770167</v>
      </c>
      <c r="H240" s="1045"/>
      <c r="I240" s="1045"/>
      <c r="J240" s="1045"/>
      <c r="K240" s="1045"/>
      <c r="L240"/>
      <c r="M240"/>
      <c r="N240" s="648"/>
      <c r="O240" s="648"/>
      <c r="P240" s="648"/>
      <c r="Q240" s="648"/>
      <c r="R240" s="648"/>
    </row>
    <row r="241" spans="1:18" ht="15" x14ac:dyDescent="0.3">
      <c r="A241" s="1077" t="s">
        <v>510</v>
      </c>
      <c r="B241" s="1059"/>
      <c r="C241" s="30">
        <f>+C232</f>
        <v>0.15</v>
      </c>
      <c r="D241" s="965">
        <f>+AB214</f>
        <v>97921329.488194004</v>
      </c>
      <c r="E241" s="965">
        <f>+AB220</f>
        <v>97314495.827837825</v>
      </c>
      <c r="F241" s="965">
        <f>+AB226</f>
        <v>108720405.00515385</v>
      </c>
      <c r="G241" s="965">
        <f>+AB232</f>
        <v>108113571.34479766</v>
      </c>
      <c r="H241" s="1045"/>
      <c r="I241" s="1045"/>
      <c r="J241" s="1045"/>
      <c r="K241" s="1045"/>
      <c r="L241"/>
      <c r="M241"/>
      <c r="N241" s="648"/>
      <c r="O241" s="648"/>
      <c r="P241" s="648"/>
      <c r="Q241" s="648"/>
      <c r="R241" s="648"/>
    </row>
    <row r="242" spans="1:18" ht="15" x14ac:dyDescent="0.3">
      <c r="A242" s="1077" t="s">
        <v>510</v>
      </c>
      <c r="B242" s="1059"/>
      <c r="C242" s="30">
        <f>+C233</f>
        <v>0.2</v>
      </c>
      <c r="D242" s="965">
        <f>+AB215</f>
        <v>115628978.31503142</v>
      </c>
      <c r="E242" s="965">
        <f>+AB221</f>
        <v>114700217.85167141</v>
      </c>
      <c r="F242" s="965">
        <f>+AB227</f>
        <v>129775144.78752765</v>
      </c>
      <c r="G242" s="965">
        <f>+AB233</f>
        <v>128846384.32416767</v>
      </c>
      <c r="H242" s="1045"/>
      <c r="I242" s="1045"/>
      <c r="J242" s="1045"/>
      <c r="K242" s="1045"/>
      <c r="L242"/>
      <c r="M242"/>
      <c r="N242" s="648"/>
      <c r="O242" s="648"/>
      <c r="P242" s="648"/>
      <c r="Q242" s="648"/>
      <c r="R242" s="648"/>
    </row>
    <row r="243" spans="1:18" ht="15" x14ac:dyDescent="0.3">
      <c r="A243" s="1074"/>
      <c r="B243" s="1075"/>
      <c r="C243" s="1075"/>
      <c r="D243" s="1076"/>
      <c r="E243" s="1076"/>
      <c r="F243" s="1076"/>
      <c r="G243" s="1076"/>
      <c r="H243" s="1045"/>
      <c r="I243" s="1045"/>
      <c r="J243" s="1045"/>
      <c r="K243" s="1045"/>
      <c r="L243"/>
      <c r="M243"/>
      <c r="N243" s="648"/>
      <c r="O243" s="648"/>
      <c r="P243" s="648"/>
      <c r="Q243" s="648"/>
      <c r="R243" s="648"/>
    </row>
    <row r="244" spans="1:18" ht="15" x14ac:dyDescent="0.3">
      <c r="A244" s="1074"/>
      <c r="B244" s="1075"/>
      <c r="C244" s="1075"/>
      <c r="D244" s="1076"/>
      <c r="E244" s="1076"/>
      <c r="F244" s="1076"/>
      <c r="G244" s="1076"/>
      <c r="H244" s="1045"/>
      <c r="I244" s="1045"/>
      <c r="J244" s="1045"/>
      <c r="K244" s="1045"/>
      <c r="L244"/>
      <c r="M244"/>
      <c r="N244" s="648"/>
      <c r="O244" s="648"/>
      <c r="P244" s="648"/>
      <c r="Q244" s="648"/>
      <c r="R244" s="648"/>
    </row>
    <row r="245" spans="1:18" ht="16.5" x14ac:dyDescent="0.3">
      <c r="A245" s="1994" t="s">
        <v>513</v>
      </c>
      <c r="B245" s="1994"/>
      <c r="C245" s="1994"/>
      <c r="D245" s="1994"/>
      <c r="E245" s="1994"/>
      <c r="F245" s="1994"/>
      <c r="G245" s="1994"/>
      <c r="H245" s="1045"/>
      <c r="I245" s="1045"/>
      <c r="J245" s="1045"/>
      <c r="K245" s="1045"/>
      <c r="L245"/>
      <c r="M245"/>
      <c r="N245" s="648"/>
      <c r="O245" s="648"/>
      <c r="P245" s="648"/>
      <c r="Q245" s="648"/>
      <c r="R245" s="648"/>
    </row>
    <row r="246" spans="1:18" ht="15" x14ac:dyDescent="0.3">
      <c r="A246" s="1995" t="s">
        <v>136</v>
      </c>
      <c r="B246" s="1996"/>
      <c r="C246" s="1997"/>
      <c r="D246" s="2001" t="s">
        <v>486</v>
      </c>
      <c r="E246" s="2001"/>
      <c r="F246" s="2001" t="s">
        <v>478</v>
      </c>
      <c r="G246" s="2001"/>
      <c r="H246" s="1045"/>
      <c r="I246" s="1045"/>
      <c r="J246" s="1045"/>
      <c r="K246" s="1045"/>
      <c r="L246"/>
      <c r="M246"/>
      <c r="N246" s="648"/>
      <c r="O246" s="648"/>
      <c r="P246" s="648"/>
      <c r="Q246" s="648"/>
      <c r="R246" s="648"/>
    </row>
    <row r="247" spans="1:18" ht="15" x14ac:dyDescent="0.3">
      <c r="A247" s="1998"/>
      <c r="B247" s="1999"/>
      <c r="C247" s="2000"/>
      <c r="D247" s="1091" t="s">
        <v>476</v>
      </c>
      <c r="E247" s="1091" t="s">
        <v>477</v>
      </c>
      <c r="F247" s="1091" t="s">
        <v>476</v>
      </c>
      <c r="G247" s="1091" t="s">
        <v>477</v>
      </c>
      <c r="H247" s="1045"/>
      <c r="I247" s="1045"/>
      <c r="J247" s="1045"/>
      <c r="K247" s="1045"/>
      <c r="L247"/>
      <c r="M247"/>
      <c r="N247" s="648"/>
      <c r="O247" s="648"/>
      <c r="P247" s="648"/>
      <c r="Q247" s="648"/>
      <c r="R247" s="648"/>
    </row>
    <row r="248" spans="1:18" ht="15" x14ac:dyDescent="0.3">
      <c r="A248" s="1106" t="s">
        <v>512</v>
      </c>
      <c r="B248" s="1059"/>
      <c r="C248" s="30">
        <f>+C238</f>
        <v>0</v>
      </c>
      <c r="D248" s="1060">
        <f>+AC211/-D211</f>
        <v>30.667688956966597</v>
      </c>
      <c r="E248" s="1060">
        <f>+AC217/-D217</f>
        <v>28.570991899744634</v>
      </c>
      <c r="F248" s="1060">
        <f>+AC223/-D223</f>
        <v>32.995084983466789</v>
      </c>
      <c r="G248" s="1060">
        <f>+AC229/-D229</f>
        <v>30.739267869738431</v>
      </c>
      <c r="H248" s="1045"/>
      <c r="I248" s="1045"/>
      <c r="J248" s="1045"/>
      <c r="K248" s="1045"/>
      <c r="L248"/>
      <c r="M248"/>
      <c r="N248" s="648"/>
      <c r="O248" s="648"/>
      <c r="P248" s="648"/>
      <c r="Q248" s="648"/>
      <c r="R248" s="648"/>
    </row>
    <row r="249" spans="1:18" ht="15" x14ac:dyDescent="0.3">
      <c r="A249" s="1106" t="s">
        <v>512</v>
      </c>
      <c r="B249" s="1059"/>
      <c r="C249" s="30">
        <f>+C239</f>
        <v>0.05</v>
      </c>
      <c r="D249" s="1060">
        <f>+AC212/-D212</f>
        <v>22.274208357485065</v>
      </c>
      <c r="E249" s="1060">
        <f>+AC218/-D218</f>
        <v>20.751359107884902</v>
      </c>
      <c r="F249" s="1060">
        <f>+AC224/-D224</f>
        <v>24.151510910550034</v>
      </c>
      <c r="G249" s="1060">
        <f>+AC230/-D230</f>
        <v>22.500313719764939</v>
      </c>
      <c r="H249" s="1045"/>
      <c r="I249" s="1045"/>
      <c r="J249" s="1045"/>
      <c r="K249" s="1045"/>
      <c r="L249"/>
      <c r="M249"/>
      <c r="N249" s="648"/>
      <c r="O249" s="648"/>
      <c r="P249" s="648"/>
      <c r="Q249" s="648"/>
      <c r="R249" s="648"/>
    </row>
    <row r="250" spans="1:18" ht="15" x14ac:dyDescent="0.3">
      <c r="A250" s="1106" t="s">
        <v>512</v>
      </c>
      <c r="B250" s="1059"/>
      <c r="C250" s="30">
        <f>+C240</f>
        <v>0.1</v>
      </c>
      <c r="D250" s="1060">
        <f>+AC213/-D213</f>
        <v>16.680270736242708</v>
      </c>
      <c r="E250" s="1060">
        <f>+AC219/-D219</f>
        <v>15.539869364120369</v>
      </c>
      <c r="F250" s="1060">
        <f>+AC225/-D225</f>
        <v>18.230842905689968</v>
      </c>
      <c r="G250" s="1060">
        <f>+AC231/-D231</f>
        <v>16.984431585793207</v>
      </c>
      <c r="H250" s="1045"/>
      <c r="I250" s="1045"/>
      <c r="J250" s="1045"/>
      <c r="K250" s="1045"/>
      <c r="L250"/>
      <c r="M250"/>
      <c r="N250" s="648"/>
      <c r="O250" s="648"/>
      <c r="P250" s="648"/>
      <c r="Q250" s="648"/>
      <c r="R250" s="648"/>
    </row>
    <row r="251" spans="1:18" ht="15" x14ac:dyDescent="0.3">
      <c r="A251" s="1106" t="s">
        <v>512</v>
      </c>
      <c r="B251" s="1059"/>
      <c r="C251" s="30">
        <f>+C241</f>
        <v>0.15</v>
      </c>
      <c r="D251" s="1060">
        <f>+AC214/-D214</f>
        <v>12.841807755675946</v>
      </c>
      <c r="E251" s="1060">
        <f>+AC220/-D220</f>
        <v>11.963835484321621</v>
      </c>
      <c r="F251" s="1060">
        <f>+AC226/-D226</f>
        <v>14.147759961178664</v>
      </c>
      <c r="G251" s="1060">
        <f>+AC232/-D232</f>
        <v>13.180501987533814</v>
      </c>
      <c r="H251" s="1045"/>
      <c r="I251" s="1045"/>
      <c r="J251" s="1045"/>
      <c r="K251" s="1045"/>
      <c r="L251"/>
      <c r="M251"/>
      <c r="N251" s="648"/>
      <c r="O251" s="648"/>
      <c r="P251" s="648"/>
      <c r="Q251" s="648"/>
      <c r="R251" s="648"/>
    </row>
    <row r="252" spans="1:18" ht="15" x14ac:dyDescent="0.3">
      <c r="A252" s="1106" t="s">
        <v>512</v>
      </c>
      <c r="B252" s="1059"/>
      <c r="C252" s="30">
        <f>+C242</f>
        <v>0.2</v>
      </c>
      <c r="D252" s="1060">
        <f>+AC215/-D215</f>
        <v>10.136362789494367</v>
      </c>
      <c r="E252" s="1060">
        <f>+AC221/-D221</f>
        <v>9.4433571293192724</v>
      </c>
      <c r="F252" s="1060">
        <f>+AC227/-D227</f>
        <v>11.25411467882768</v>
      </c>
      <c r="G252" s="1060">
        <f>+AC233/-D233</f>
        <v>10.484690247731898</v>
      </c>
      <c r="H252" s="1045"/>
      <c r="I252" s="1045"/>
      <c r="J252" s="1045"/>
      <c r="K252" s="1045"/>
      <c r="L252"/>
      <c r="M252"/>
      <c r="N252" s="648"/>
      <c r="O252" s="648"/>
      <c r="P252" s="648"/>
      <c r="Q252" s="648"/>
      <c r="R252" s="648"/>
    </row>
    <row r="253" spans="1:18" ht="15" x14ac:dyDescent="0.3">
      <c r="A253" s="1074"/>
      <c r="B253" s="1075"/>
      <c r="C253" s="1075"/>
      <c r="D253" s="1076"/>
      <c r="E253" s="1076"/>
      <c r="F253" s="1076"/>
      <c r="G253" s="1076"/>
      <c r="H253" s="1045"/>
      <c r="I253" s="1045"/>
      <c r="J253" s="1045"/>
      <c r="K253" s="1045"/>
      <c r="L253"/>
      <c r="M253"/>
      <c r="N253" s="648"/>
      <c r="O253" s="648"/>
      <c r="P253" s="648"/>
      <c r="Q253" s="648"/>
      <c r="R253" s="648"/>
    </row>
    <row r="254" spans="1:18" ht="15" x14ac:dyDescent="0.3">
      <c r="A254" s="1107" t="s">
        <v>514</v>
      </c>
      <c r="B254" s="1059"/>
      <c r="C254" s="30">
        <f>+C248</f>
        <v>0</v>
      </c>
      <c r="D254" s="1085">
        <f t="shared" ref="D254:G258" si="117">D248^(1/10)-1</f>
        <v>0.4082122080695898</v>
      </c>
      <c r="E254" s="1085">
        <f t="shared" si="117"/>
        <v>0.39827480331131504</v>
      </c>
      <c r="F254" s="1085">
        <f t="shared" si="117"/>
        <v>0.41855090489389379</v>
      </c>
      <c r="G254" s="1085">
        <f t="shared" si="117"/>
        <v>0.40854054251287764</v>
      </c>
      <c r="H254" s="1045"/>
      <c r="I254" s="1045"/>
      <c r="J254" s="1045"/>
      <c r="K254" s="1045"/>
      <c r="L254"/>
      <c r="M254"/>
      <c r="N254" s="648"/>
      <c r="O254" s="648"/>
      <c r="P254" s="648"/>
      <c r="Q254" s="648"/>
      <c r="R254" s="648"/>
    </row>
    <row r="255" spans="1:18" ht="15" x14ac:dyDescent="0.3">
      <c r="A255" s="1107" t="s">
        <v>514</v>
      </c>
      <c r="B255" s="1059"/>
      <c r="C255" s="30">
        <f>+C249</f>
        <v>0.05</v>
      </c>
      <c r="D255" s="1085">
        <f t="shared" si="117"/>
        <v>0.36389277185537328</v>
      </c>
      <c r="E255" s="1085">
        <f t="shared" si="117"/>
        <v>0.35426811838117023</v>
      </c>
      <c r="F255" s="1085">
        <f t="shared" si="117"/>
        <v>0.37497382444841154</v>
      </c>
      <c r="G255" s="1085">
        <f t="shared" si="117"/>
        <v>0.36527097473067793</v>
      </c>
      <c r="H255" s="1045"/>
      <c r="I255" s="1045"/>
      <c r="J255" s="1045"/>
      <c r="K255" s="1045"/>
      <c r="L255"/>
      <c r="M255"/>
      <c r="N255" s="648"/>
      <c r="O255" s="648"/>
      <c r="P255" s="648"/>
      <c r="Q255" s="648"/>
      <c r="R255" s="648"/>
    </row>
    <row r="256" spans="1:18" ht="15" x14ac:dyDescent="0.3">
      <c r="A256" s="1107" t="s">
        <v>514</v>
      </c>
      <c r="B256" s="1059"/>
      <c r="C256" s="30">
        <f>+C250</f>
        <v>0.1</v>
      </c>
      <c r="D256" s="1085">
        <f t="shared" si="117"/>
        <v>0.32501351952185087</v>
      </c>
      <c r="E256" s="1085">
        <f t="shared" si="117"/>
        <v>0.3156632273015294</v>
      </c>
      <c r="F256" s="1085">
        <f t="shared" si="117"/>
        <v>0.3368438266256486</v>
      </c>
      <c r="G256" s="1085">
        <f t="shared" si="117"/>
        <v>0.32741005085829378</v>
      </c>
      <c r="H256" s="1045"/>
      <c r="I256" s="1045"/>
      <c r="J256" s="1045"/>
      <c r="K256" s="1045"/>
      <c r="L256"/>
      <c r="M256"/>
      <c r="N256" s="648"/>
      <c r="O256" s="648"/>
      <c r="P256" s="648"/>
      <c r="Q256" s="648"/>
      <c r="R256" s="648"/>
    </row>
    <row r="257" spans="1:18" ht="15" x14ac:dyDescent="0.3">
      <c r="A257" s="1107" t="s">
        <v>514</v>
      </c>
      <c r="B257" s="1059"/>
      <c r="C257" s="30">
        <f>+C251</f>
        <v>0.15</v>
      </c>
      <c r="D257" s="1085">
        <f t="shared" si="117"/>
        <v>0.29081087727349608</v>
      </c>
      <c r="E257" s="1085">
        <f t="shared" si="117"/>
        <v>0.28170194462801446</v>
      </c>
      <c r="F257" s="1085">
        <f t="shared" si="117"/>
        <v>0.30337314447114982</v>
      </c>
      <c r="G257" s="1085">
        <f t="shared" si="117"/>
        <v>0.29417556301754888</v>
      </c>
      <c r="H257" s="1045"/>
      <c r="I257" s="1045"/>
      <c r="J257" s="1045"/>
      <c r="K257" s="1045"/>
      <c r="L257"/>
      <c r="M257"/>
      <c r="N257" s="648"/>
      <c r="O257" s="648"/>
      <c r="P257" s="648"/>
      <c r="Q257" s="648"/>
      <c r="R257" s="648"/>
    </row>
    <row r="258" spans="1:18" ht="15" x14ac:dyDescent="0.3">
      <c r="A258" s="1107" t="s">
        <v>514</v>
      </c>
      <c r="B258" s="1059"/>
      <c r="C258" s="30">
        <f>+C252</f>
        <v>0.2</v>
      </c>
      <c r="D258" s="1085">
        <f t="shared" si="117"/>
        <v>0.26063167342488103</v>
      </c>
      <c r="E258" s="1085">
        <f t="shared" si="117"/>
        <v>0.25173570794600097</v>
      </c>
      <c r="F258" s="1085">
        <f t="shared" si="117"/>
        <v>0.27388766866610004</v>
      </c>
      <c r="G258" s="1085">
        <f t="shared" si="117"/>
        <v>0.26489815891212376</v>
      </c>
      <c r="H258" s="1045"/>
      <c r="I258" s="1045"/>
      <c r="J258" s="1045"/>
      <c r="K258" s="1045"/>
      <c r="L258"/>
      <c r="M258"/>
      <c r="N258" s="648"/>
      <c r="O258" s="648"/>
      <c r="P258" s="648"/>
      <c r="Q258" s="648"/>
      <c r="R258" s="648"/>
    </row>
    <row r="259" spans="1:18" ht="15" x14ac:dyDescent="0.3">
      <c r="A259" s="2002" t="s">
        <v>515</v>
      </c>
      <c r="B259" s="2002"/>
      <c r="C259" s="2002"/>
      <c r="D259" s="1085">
        <f>+H56</f>
        <v>1.3732035958902458</v>
      </c>
      <c r="E259" s="1085">
        <f>+I56</f>
        <v>1.2947033331938762</v>
      </c>
      <c r="F259" s="1085">
        <f>+J56</f>
        <v>1.5242141954126329</v>
      </c>
      <c r="G259" s="1085">
        <f>+K56</f>
        <v>1.4411585278481271</v>
      </c>
      <c r="H259" s="1045"/>
      <c r="I259" s="1045"/>
      <c r="J259" s="1045"/>
      <c r="K259" s="1045"/>
      <c r="L259"/>
      <c r="M259"/>
      <c r="N259" s="648"/>
      <c r="O259" s="648"/>
      <c r="P259" s="648"/>
      <c r="Q259" s="648"/>
      <c r="R259" s="648"/>
    </row>
    <row r="260" spans="1:18" ht="15" x14ac:dyDescent="0.3">
      <c r="A260" s="1074"/>
      <c r="B260" s="1075"/>
      <c r="C260" s="1075"/>
      <c r="D260" s="1076"/>
      <c r="E260" s="1076"/>
      <c r="F260" s="1076"/>
      <c r="G260" s="1076"/>
      <c r="H260" s="1045"/>
      <c r="I260" s="1045"/>
      <c r="J260" s="1045"/>
      <c r="K260" s="1045"/>
      <c r="L260"/>
      <c r="M260"/>
      <c r="N260" s="648"/>
      <c r="O260" s="648"/>
      <c r="P260" s="648"/>
      <c r="Q260" s="648"/>
      <c r="R260" s="648"/>
    </row>
    <row r="261" spans="1:18" ht="16.5" x14ac:dyDescent="0.2">
      <c r="A261" s="1994" t="s">
        <v>516</v>
      </c>
      <c r="B261" s="1994"/>
      <c r="C261" s="1994"/>
      <c r="D261" s="1994"/>
      <c r="E261" s="1994"/>
      <c r="F261" s="1994"/>
      <c r="G261" s="1994"/>
      <c r="H261" s="1994"/>
      <c r="I261" s="1994"/>
      <c r="J261" s="1994"/>
      <c r="K261" s="1994"/>
      <c r="L261" s="1994"/>
      <c r="M261" s="1994"/>
      <c r="N261" s="1994"/>
      <c r="O261" s="648"/>
      <c r="P261" s="648"/>
      <c r="Q261" s="648"/>
      <c r="R261" s="648"/>
    </row>
    <row r="262" spans="1:18" ht="16.5" x14ac:dyDescent="0.2">
      <c r="A262" s="2003" t="s">
        <v>377</v>
      </c>
      <c r="B262" s="2004"/>
      <c r="C262" s="2005"/>
      <c r="D262" s="1411" t="s">
        <v>161</v>
      </c>
      <c r="E262" s="1411">
        <v>1</v>
      </c>
      <c r="F262" s="1411">
        <v>2</v>
      </c>
      <c r="G262" s="1411">
        <v>3</v>
      </c>
      <c r="H262" s="1411">
        <v>4</v>
      </c>
      <c r="I262" s="1411">
        <v>5</v>
      </c>
      <c r="J262" s="1411">
        <v>6</v>
      </c>
      <c r="K262" s="1411">
        <v>7</v>
      </c>
      <c r="L262" s="1411">
        <v>8</v>
      </c>
      <c r="M262" s="1412">
        <v>9</v>
      </c>
      <c r="N262" s="1412">
        <v>10</v>
      </c>
      <c r="O262" s="648"/>
      <c r="P262" s="648"/>
      <c r="Q262" s="648"/>
      <c r="R262" s="648"/>
    </row>
    <row r="263" spans="1:18" x14ac:dyDescent="0.2">
      <c r="A263" s="1479"/>
      <c r="B263" s="1480"/>
      <c r="C263" s="1481"/>
      <c r="D263" s="1411">
        <f>+'17 Hoja de Trabajo'!$D$2</f>
        <v>2017</v>
      </c>
      <c r="E263" s="1411">
        <f>+D263</f>
        <v>2017</v>
      </c>
      <c r="F263" s="1411">
        <f>+E263+1</f>
        <v>2018</v>
      </c>
      <c r="G263" s="1411">
        <f t="shared" ref="G263:N263" si="118">+F263+1</f>
        <v>2019</v>
      </c>
      <c r="H263" s="1411">
        <f t="shared" si="118"/>
        <v>2020</v>
      </c>
      <c r="I263" s="1411">
        <f t="shared" si="118"/>
        <v>2021</v>
      </c>
      <c r="J263" s="1411">
        <f t="shared" si="118"/>
        <v>2022</v>
      </c>
      <c r="K263" s="1411">
        <f t="shared" si="118"/>
        <v>2023</v>
      </c>
      <c r="L263" s="1411">
        <f t="shared" si="118"/>
        <v>2024</v>
      </c>
      <c r="M263" s="1411">
        <f t="shared" si="118"/>
        <v>2025</v>
      </c>
      <c r="N263" s="1411">
        <f t="shared" si="118"/>
        <v>2026</v>
      </c>
      <c r="O263" s="648"/>
      <c r="P263" s="648"/>
      <c r="Q263" s="648"/>
      <c r="R263" s="648"/>
    </row>
    <row r="264" spans="1:18" ht="15" x14ac:dyDescent="0.3">
      <c r="A264" s="1991" t="str">
        <f>+A42</f>
        <v>Flujo financiero socios</v>
      </c>
      <c r="B264" s="1992"/>
      <c r="C264" s="1993"/>
      <c r="D264" s="1108">
        <f t="shared" ref="D264:N264" si="119">+D42</f>
        <v>-2044000</v>
      </c>
      <c r="E264" s="1108">
        <f t="shared" si="119"/>
        <v>2668838.0086363629</v>
      </c>
      <c r="F264" s="1108">
        <f t="shared" si="119"/>
        <v>1360563.4126853421</v>
      </c>
      <c r="G264" s="1108">
        <f t="shared" si="119"/>
        <v>4851048.7661353685</v>
      </c>
      <c r="H264" s="1108">
        <f t="shared" si="119"/>
        <v>5311219.1466296464</v>
      </c>
      <c r="I264" s="1108">
        <f t="shared" si="119"/>
        <v>5959224.2382539064</v>
      </c>
      <c r="J264" s="1108">
        <f t="shared" si="119"/>
        <v>6633928.4408685863</v>
      </c>
      <c r="K264" s="1108">
        <f t="shared" si="119"/>
        <v>7002772.3462037258</v>
      </c>
      <c r="L264" s="1108">
        <f t="shared" si="119"/>
        <v>8771898.9691555277</v>
      </c>
      <c r="M264" s="1108">
        <f t="shared" si="119"/>
        <v>9902684.5697118267</v>
      </c>
      <c r="N264" s="1108">
        <f t="shared" si="119"/>
        <v>10222578.329759434</v>
      </c>
      <c r="O264" s="648"/>
      <c r="P264" s="648"/>
      <c r="Q264" s="648"/>
      <c r="R264" s="648"/>
    </row>
    <row r="265" spans="1:18" ht="15" x14ac:dyDescent="0.3">
      <c r="A265" s="1991" t="str">
        <f>+A44</f>
        <v>Flujo financiero con creditos</v>
      </c>
      <c r="B265" s="1992"/>
      <c r="C265" s="1993"/>
      <c r="D265" s="1108">
        <f t="shared" ref="D265:N265" si="120">+D44</f>
        <v>-2194000</v>
      </c>
      <c r="E265" s="1108">
        <f t="shared" si="120"/>
        <v>2668838.0086363629</v>
      </c>
      <c r="F265" s="1108">
        <f t="shared" si="120"/>
        <v>1360563.4126853421</v>
      </c>
      <c r="G265" s="1108">
        <f t="shared" si="120"/>
        <v>4851048.7661353685</v>
      </c>
      <c r="H265" s="1108">
        <f t="shared" si="120"/>
        <v>5311219.1466296464</v>
      </c>
      <c r="I265" s="1108">
        <f t="shared" si="120"/>
        <v>5959224.2382539064</v>
      </c>
      <c r="J265" s="1108">
        <f t="shared" si="120"/>
        <v>6633928.4408685863</v>
      </c>
      <c r="K265" s="1108">
        <f t="shared" si="120"/>
        <v>7002772.3462037258</v>
      </c>
      <c r="L265" s="1108">
        <f t="shared" si="120"/>
        <v>8771898.9691555277</v>
      </c>
      <c r="M265" s="1108">
        <f t="shared" si="120"/>
        <v>9902684.5697118267</v>
      </c>
      <c r="N265" s="1108">
        <f t="shared" si="120"/>
        <v>10222578.329759434</v>
      </c>
      <c r="O265" s="648"/>
      <c r="P265" s="648"/>
      <c r="Q265" s="648"/>
      <c r="R265" s="648"/>
    </row>
    <row r="266" spans="1:18" ht="15" x14ac:dyDescent="0.3">
      <c r="A266" s="1991" t="str">
        <f>+A48</f>
        <v>Flujo económico socios</v>
      </c>
      <c r="B266" s="1992"/>
      <c r="C266" s="1993"/>
      <c r="D266" s="1108">
        <f t="shared" ref="D266:N266" si="121">+D48</f>
        <v>-2044000</v>
      </c>
      <c r="E266" s="1108">
        <f t="shared" si="121"/>
        <v>2025657.5264605943</v>
      </c>
      <c r="F266" s="1108">
        <f t="shared" si="121"/>
        <v>4400505.447220468</v>
      </c>
      <c r="G266" s="1108">
        <f t="shared" si="121"/>
        <v>4933424.6934959143</v>
      </c>
      <c r="H266" s="1108">
        <f t="shared" si="121"/>
        <v>5536741.7851982443</v>
      </c>
      <c r="I266" s="1108">
        <f t="shared" si="121"/>
        <v>6204061.6848831177</v>
      </c>
      <c r="J266" s="1108">
        <f t="shared" si="121"/>
        <v>6666152.107124351</v>
      </c>
      <c r="K266" s="1108">
        <f t="shared" si="121"/>
        <v>8239915.2414545007</v>
      </c>
      <c r="L266" s="1108">
        <f t="shared" si="121"/>
        <v>8995644.1509125177</v>
      </c>
      <c r="M266" s="1108">
        <f t="shared" si="121"/>
        <v>9774935.9384547863</v>
      </c>
      <c r="N266" s="1108">
        <f t="shared" si="121"/>
        <v>10664915.131001618</v>
      </c>
      <c r="O266" s="648"/>
      <c r="P266" s="648"/>
      <c r="Q266" s="648"/>
      <c r="R266" s="648"/>
    </row>
    <row r="267" spans="1:18" ht="15" x14ac:dyDescent="0.3">
      <c r="A267" s="1991" t="str">
        <f>+A50</f>
        <v>Flujo económico con creditos</v>
      </c>
      <c r="B267" s="1992"/>
      <c r="C267" s="1993"/>
      <c r="D267" s="1108">
        <f t="shared" ref="D267:N267" si="122">+D50</f>
        <v>-2194000</v>
      </c>
      <c r="E267" s="1108">
        <f t="shared" si="122"/>
        <v>2025657.5264605943</v>
      </c>
      <c r="F267" s="1108">
        <f t="shared" si="122"/>
        <v>4400505.447220468</v>
      </c>
      <c r="G267" s="1108">
        <f t="shared" si="122"/>
        <v>4933424.6934959143</v>
      </c>
      <c r="H267" s="1108">
        <f t="shared" si="122"/>
        <v>5536741.7851982443</v>
      </c>
      <c r="I267" s="1108">
        <f t="shared" si="122"/>
        <v>6204061.6848831177</v>
      </c>
      <c r="J267" s="1108">
        <f t="shared" si="122"/>
        <v>6666152.107124351</v>
      </c>
      <c r="K267" s="1108">
        <f t="shared" si="122"/>
        <v>8239915.2414545007</v>
      </c>
      <c r="L267" s="1108">
        <f t="shared" si="122"/>
        <v>8995644.1509125177</v>
      </c>
      <c r="M267" s="1108">
        <f t="shared" si="122"/>
        <v>9774935.9384547863</v>
      </c>
      <c r="N267" s="1108">
        <f t="shared" si="122"/>
        <v>10664915.131001618</v>
      </c>
      <c r="O267" s="648"/>
      <c r="P267" s="648"/>
      <c r="Q267" s="648"/>
      <c r="R267" s="648"/>
    </row>
    <row r="268" spans="1:18" ht="15" x14ac:dyDescent="0.3">
      <c r="A268" s="1074"/>
      <c r="B268" s="1075"/>
      <c r="C268" s="1075"/>
      <c r="D268" s="1076"/>
      <c r="E268" s="1076"/>
      <c r="F268" s="1076"/>
      <c r="G268" s="1076"/>
      <c r="H268" s="1045"/>
      <c r="I268" s="1045"/>
      <c r="J268" s="1045"/>
      <c r="K268" s="1045"/>
      <c r="L268"/>
      <c r="M268"/>
      <c r="N268" s="648"/>
      <c r="O268" s="648"/>
      <c r="P268" s="648"/>
      <c r="Q268" s="648"/>
      <c r="R268" s="648"/>
    </row>
    <row r="269" spans="1:18" ht="15" x14ac:dyDescent="0.3">
      <c r="A269" s="1074"/>
      <c r="B269" s="1075"/>
      <c r="C269" s="1075"/>
      <c r="D269" s="1076"/>
      <c r="E269" s="1076"/>
      <c r="F269" s="1076"/>
      <c r="G269" s="1076"/>
      <c r="H269" s="1045"/>
      <c r="I269" s="1045"/>
      <c r="J269" s="1045"/>
      <c r="K269" s="1045"/>
      <c r="L269"/>
      <c r="M269"/>
      <c r="N269" s="648"/>
      <c r="O269" s="648"/>
      <c r="P269" s="648"/>
      <c r="Q269" s="648"/>
      <c r="R269" s="648"/>
    </row>
    <row r="270" spans="1:18" ht="16.5" x14ac:dyDescent="0.3">
      <c r="A270" s="1994" t="s">
        <v>517</v>
      </c>
      <c r="B270" s="1994"/>
      <c r="C270" s="1994"/>
      <c r="D270" s="1994"/>
      <c r="E270" s="1994"/>
      <c r="F270" s="1994"/>
      <c r="G270" s="1994"/>
      <c r="H270" s="1045"/>
      <c r="I270" s="1045"/>
      <c r="J270" s="1045"/>
      <c r="K270" s="1045"/>
      <c r="L270"/>
      <c r="M270"/>
      <c r="N270" s="648"/>
      <c r="O270" s="648"/>
      <c r="P270" s="648"/>
      <c r="Q270" s="648"/>
      <c r="R270" s="648"/>
    </row>
    <row r="271" spans="1:18" ht="15" x14ac:dyDescent="0.3">
      <c r="A271" s="1995" t="s">
        <v>136</v>
      </c>
      <c r="B271" s="1996"/>
      <c r="C271" s="1997"/>
      <c r="D271" s="2001" t="s">
        <v>486</v>
      </c>
      <c r="E271" s="2001"/>
      <c r="F271" s="2001" t="s">
        <v>478</v>
      </c>
      <c r="G271" s="2001"/>
      <c r="H271" s="1045"/>
      <c r="I271" s="1045"/>
      <c r="J271" s="1045"/>
      <c r="K271" s="1045"/>
      <c r="L271"/>
      <c r="M271"/>
      <c r="N271" s="648"/>
      <c r="O271" s="648"/>
      <c r="P271" s="648"/>
      <c r="Q271" s="648"/>
      <c r="R271" s="648"/>
    </row>
    <row r="272" spans="1:18" ht="15" x14ac:dyDescent="0.3">
      <c r="A272" s="1998"/>
      <c r="B272" s="1999"/>
      <c r="C272" s="2000"/>
      <c r="D272" s="1091" t="s">
        <v>476</v>
      </c>
      <c r="E272" s="1091" t="s">
        <v>477</v>
      </c>
      <c r="F272" s="1091" t="s">
        <v>476</v>
      </c>
      <c r="G272" s="1091" t="s">
        <v>477</v>
      </c>
      <c r="H272" s="1045"/>
      <c r="I272" s="1045"/>
      <c r="J272" s="1045"/>
      <c r="K272" s="1045"/>
      <c r="L272"/>
      <c r="M272"/>
      <c r="N272" s="648"/>
      <c r="O272" s="648"/>
      <c r="P272" s="648"/>
      <c r="Q272" s="648"/>
      <c r="R272" s="648"/>
    </row>
    <row r="273" spans="1:18" ht="15" x14ac:dyDescent="0.3">
      <c r="A273" s="1077" t="s">
        <v>510</v>
      </c>
      <c r="B273" s="1059"/>
      <c r="C273" s="30">
        <f>+C248</f>
        <v>0</v>
      </c>
      <c r="D273" s="768">
        <f>MIRR(D$264:N$264,$C273,$C273)</f>
        <v>0.4082122080695898</v>
      </c>
      <c r="E273" s="768">
        <f>MIRR(D$265:N$265,$C273,$C273)</f>
        <v>0.39827480331131504</v>
      </c>
      <c r="F273" s="768">
        <f>MIRR(D$266:N$266,$C273,$C273)</f>
        <v>0.41855090489389379</v>
      </c>
      <c r="G273" s="768">
        <f>MIRR(D$267:N$267,$C273,$C273)</f>
        <v>0.40854054251287764</v>
      </c>
      <c r="H273" s="1045"/>
      <c r="I273" s="1045"/>
      <c r="J273" s="1045"/>
      <c r="K273" s="1045"/>
      <c r="L273"/>
      <c r="M273"/>
      <c r="N273" s="648"/>
      <c r="O273" s="648"/>
      <c r="P273" s="648"/>
      <c r="Q273" s="648"/>
      <c r="R273" s="648"/>
    </row>
    <row r="274" spans="1:18" ht="15" x14ac:dyDescent="0.3">
      <c r="A274" s="1077" t="s">
        <v>510</v>
      </c>
      <c r="B274" s="1059"/>
      <c r="C274" s="30">
        <f>+C249</f>
        <v>0.05</v>
      </c>
      <c r="D274" s="768">
        <f>MIRR(D$264:N$264,$C274,$C274)</f>
        <v>0.43208741044814203</v>
      </c>
      <c r="E274" s="768">
        <f>MIRR(D$265:N$265,$C274,$C274)</f>
        <v>0.42198152430022873</v>
      </c>
      <c r="F274" s="768">
        <f>MIRR(D$266:N$266,$C274,$C274)</f>
        <v>0.44372251567083221</v>
      </c>
      <c r="G274" s="768">
        <f>MIRR(D$267:N$267,$C274,$C274)</f>
        <v>0.43353452346721189</v>
      </c>
      <c r="H274" s="1045"/>
      <c r="I274" s="1045"/>
      <c r="J274" s="1045"/>
      <c r="K274" s="1045"/>
      <c r="L274"/>
      <c r="M274"/>
      <c r="N274" s="648"/>
      <c r="O274" s="648"/>
      <c r="P274" s="648"/>
      <c r="Q274" s="648"/>
      <c r="R274" s="648"/>
    </row>
    <row r="275" spans="1:18" ht="15" x14ac:dyDescent="0.3">
      <c r="A275" s="1077" t="s">
        <v>510</v>
      </c>
      <c r="B275" s="1059"/>
      <c r="C275" s="30">
        <f>+C250</f>
        <v>0.1</v>
      </c>
      <c r="D275" s="768">
        <f>MIRR(D$264:N$264,$C275,$C275)</f>
        <v>0.45751487147403624</v>
      </c>
      <c r="E275" s="768">
        <f>MIRR(D$265:N$265,$C275,$C275)</f>
        <v>0.4472295500316823</v>
      </c>
      <c r="F275" s="768">
        <f>MIRR(D$266:N$266,$C275,$C275)</f>
        <v>0.47052820928821348</v>
      </c>
      <c r="G275" s="768">
        <f>MIRR(D$267:N$267,$C275,$C275)</f>
        <v>0.46015105594412331</v>
      </c>
      <c r="H275" s="1045"/>
      <c r="I275" s="1045"/>
      <c r="J275" s="1045"/>
      <c r="K275" s="1045"/>
      <c r="L275"/>
      <c r="M275"/>
      <c r="N275" s="648"/>
      <c r="O275" s="648"/>
      <c r="P275" s="648"/>
      <c r="Q275" s="648"/>
      <c r="R275" s="648"/>
    </row>
    <row r="276" spans="1:18" ht="15" x14ac:dyDescent="0.3">
      <c r="A276" s="1077" t="s">
        <v>510</v>
      </c>
      <c r="B276" s="1059"/>
      <c r="C276" s="30">
        <f>+C251</f>
        <v>0.15</v>
      </c>
      <c r="D276" s="768">
        <f>MIRR(D$264:N$264,$C276,$C276)</f>
        <v>0.48443250886452027</v>
      </c>
      <c r="E276" s="768">
        <f>MIRR(D$265:N$265,$C276,$C276)</f>
        <v>0.47395723632221665</v>
      </c>
      <c r="F276" s="768">
        <f>MIRR(D$266:N$266,$C276,$C276)</f>
        <v>0.49887911614182223</v>
      </c>
      <c r="G276" s="768">
        <f>MIRR(D$267:N$267,$C276,$C276)</f>
        <v>0.48830189747018116</v>
      </c>
      <c r="H276" s="1045"/>
      <c r="I276" s="1045"/>
      <c r="J276" s="1045"/>
      <c r="K276" s="1045"/>
      <c r="L276"/>
      <c r="M276"/>
      <c r="N276" s="648"/>
      <c r="O276" s="648"/>
      <c r="P276" s="648"/>
      <c r="Q276" s="648"/>
      <c r="R276" s="648"/>
    </row>
    <row r="277" spans="1:18" ht="15" x14ac:dyDescent="0.3">
      <c r="A277" s="1077" t="s">
        <v>510</v>
      </c>
      <c r="B277" s="1059"/>
      <c r="C277" s="30">
        <f>+C252</f>
        <v>0.2</v>
      </c>
      <c r="D277" s="768">
        <f>MIRR(D$264:N$264,$C277,$C277)</f>
        <v>0.51275800810985728</v>
      </c>
      <c r="E277" s="768">
        <f>MIRR(D$265:N$265,$C277,$C277)</f>
        <v>0.50208284953520121</v>
      </c>
      <c r="F277" s="768">
        <f>MIRR(D$266:N$266,$C277,$C277)</f>
        <v>0.52866520239932013</v>
      </c>
      <c r="G277" s="768">
        <f>MIRR(D$267:N$267,$C277,$C277)</f>
        <v>0.51787779069454865</v>
      </c>
      <c r="H277" s="1045"/>
      <c r="I277" s="1045"/>
      <c r="J277" s="1045"/>
      <c r="K277" s="1045"/>
      <c r="L277"/>
      <c r="M277"/>
      <c r="N277" s="648"/>
      <c r="O277" s="648"/>
      <c r="P277" s="648"/>
      <c r="Q277" s="648"/>
      <c r="R277" s="648"/>
    </row>
    <row r="278" spans="1:18" ht="15" x14ac:dyDescent="0.3">
      <c r="A278" s="1074"/>
      <c r="B278" s="1075"/>
      <c r="C278" s="1075"/>
      <c r="D278" s="1076"/>
      <c r="E278" s="1076"/>
      <c r="F278" s="1076"/>
      <c r="G278" s="1076"/>
      <c r="H278" s="1045"/>
      <c r="I278" s="1045"/>
      <c r="J278" s="1045"/>
      <c r="K278" s="1045"/>
      <c r="L278"/>
      <c r="M278"/>
      <c r="N278" s="648"/>
      <c r="O278" s="648"/>
      <c r="P278" s="648"/>
      <c r="Q278" s="648"/>
      <c r="R278" s="648"/>
    </row>
    <row r="279" spans="1:18" ht="16.5" x14ac:dyDescent="0.3">
      <c r="A279" s="1994" t="s">
        <v>535</v>
      </c>
      <c r="B279" s="1994"/>
      <c r="C279" s="1994"/>
      <c r="D279" s="1994"/>
      <c r="E279" s="1994"/>
      <c r="F279" s="1994"/>
      <c r="G279" s="1994"/>
      <c r="H279" s="1045"/>
      <c r="I279" s="1045"/>
      <c r="J279" s="1045"/>
      <c r="K279" s="1045"/>
      <c r="L279"/>
      <c r="M279"/>
      <c r="N279" s="648"/>
      <c r="O279" s="648"/>
      <c r="P279" s="648"/>
      <c r="Q279" s="648"/>
      <c r="R279" s="648"/>
    </row>
    <row r="280" spans="1:18" ht="15" x14ac:dyDescent="0.3">
      <c r="A280" s="1995" t="s">
        <v>136</v>
      </c>
      <c r="B280" s="1996"/>
      <c r="C280" s="1997"/>
      <c r="D280" s="2001" t="s">
        <v>486</v>
      </c>
      <c r="E280" s="2001"/>
      <c r="F280" s="2001" t="s">
        <v>478</v>
      </c>
      <c r="G280" s="2001"/>
      <c r="H280" s="1045"/>
      <c r="I280" s="1045"/>
      <c r="J280" s="1045"/>
      <c r="K280" s="1045"/>
      <c r="L280"/>
      <c r="M280"/>
      <c r="N280" s="648"/>
      <c r="O280" s="648"/>
      <c r="P280" s="648"/>
      <c r="Q280" s="648"/>
      <c r="R280" s="648"/>
    </row>
    <row r="281" spans="1:18" ht="15" x14ac:dyDescent="0.3">
      <c r="A281" s="1998"/>
      <c r="B281" s="1999"/>
      <c r="C281" s="2000"/>
      <c r="D281" s="1109" t="s">
        <v>476</v>
      </c>
      <c r="E281" s="1109" t="s">
        <v>477</v>
      </c>
      <c r="F281" s="1109" t="s">
        <v>476</v>
      </c>
      <c r="G281" s="1109" t="s">
        <v>477</v>
      </c>
      <c r="H281" s="1045"/>
      <c r="I281" s="1045"/>
      <c r="J281" s="1045"/>
      <c r="K281" s="1045"/>
      <c r="L281"/>
      <c r="M281"/>
      <c r="N281" s="648"/>
      <c r="O281" s="648"/>
      <c r="P281" s="648"/>
      <c r="Q281" s="648"/>
      <c r="R281" s="648"/>
    </row>
    <row r="282" spans="1:18" ht="15" x14ac:dyDescent="0.3">
      <c r="A282" s="1077" t="s">
        <v>511</v>
      </c>
      <c r="B282" s="1059"/>
      <c r="C282" s="30">
        <v>0</v>
      </c>
      <c r="D282" s="768">
        <f>+AE42</f>
        <v>9.8585584991881738</v>
      </c>
      <c r="E282" s="768">
        <f>+AE44</f>
        <v>9.1845458397176962</v>
      </c>
      <c r="F282" s="768">
        <f>+AE48</f>
        <v>11.301561221750655</v>
      </c>
      <c r="G282" s="768">
        <f>+AE50</f>
        <v>10.528892952259953</v>
      </c>
      <c r="H282" s="1045"/>
      <c r="I282" s="1045"/>
      <c r="J282" s="1045"/>
      <c r="K282" s="1045"/>
      <c r="L282"/>
      <c r="M282"/>
      <c r="N282" s="648"/>
      <c r="O282" s="648"/>
      <c r="P282" s="648"/>
      <c r="Q282" s="648"/>
      <c r="R282" s="648"/>
    </row>
    <row r="283" spans="1:18" ht="15" x14ac:dyDescent="0.3">
      <c r="A283" s="1077" t="s">
        <v>511</v>
      </c>
      <c r="B283" s="1059"/>
      <c r="C283" s="30">
        <v>0.05</v>
      </c>
      <c r="D283" s="768">
        <f>+AE100</f>
        <v>8.3195211262961699</v>
      </c>
      <c r="E283" s="768">
        <f>+AE105</f>
        <v>7.7507298004327136</v>
      </c>
      <c r="F283" s="768">
        <f>+AE110</f>
        <v>9.5882580147819478</v>
      </c>
      <c r="G283" s="768">
        <f>+AE115</f>
        <v>8.9327253337348687</v>
      </c>
      <c r="H283" s="1045"/>
      <c r="I283" s="1045"/>
      <c r="J283" s="1045"/>
      <c r="K283" s="1045"/>
      <c r="L283"/>
      <c r="M283"/>
      <c r="N283" s="648"/>
      <c r="O283" s="648"/>
      <c r="P283" s="648"/>
      <c r="Q283" s="648"/>
      <c r="R283" s="648"/>
    </row>
    <row r="284" spans="1:18" ht="15" x14ac:dyDescent="0.3">
      <c r="A284" s="1077" t="s">
        <v>511</v>
      </c>
      <c r="B284" s="1059"/>
      <c r="C284" s="30">
        <v>0.1</v>
      </c>
      <c r="D284" s="768">
        <f t="shared" ref="D284:D286" si="123">+AE101</f>
        <v>7.1052628286747073</v>
      </c>
      <c r="E284" s="768">
        <f t="shared" ref="E284:E286" si="124">+AE106</f>
        <v>6.6194882505975849</v>
      </c>
      <c r="F284" s="768">
        <f t="shared" ref="F284:F286" si="125">+AE111</f>
        <v>8.2283495708530321</v>
      </c>
      <c r="G284" s="768">
        <f t="shared" ref="G284:G286" si="126">+AE116</f>
        <v>7.6657914871575201</v>
      </c>
      <c r="H284" s="1045"/>
      <c r="I284" s="1045"/>
      <c r="J284" s="1045"/>
      <c r="K284" s="1045"/>
      <c r="L284"/>
      <c r="M284"/>
      <c r="N284" s="648"/>
      <c r="O284" s="648"/>
      <c r="P284" s="648"/>
      <c r="Q284" s="648"/>
      <c r="R284" s="648"/>
    </row>
    <row r="285" spans="1:18" ht="15" x14ac:dyDescent="0.3">
      <c r="A285" s="1077" t="s">
        <v>511</v>
      </c>
      <c r="B285" s="1059"/>
      <c r="C285" s="30">
        <v>0.15</v>
      </c>
      <c r="D285" s="768">
        <f t="shared" si="123"/>
        <v>6.1343678358609735</v>
      </c>
      <c r="E285" s="768">
        <f t="shared" si="124"/>
        <v>5.7149716757063951</v>
      </c>
      <c r="F285" s="768">
        <f t="shared" si="125"/>
        <v>7.1344558177148913</v>
      </c>
      <c r="G285" s="768">
        <f t="shared" si="126"/>
        <v>6.6466853652731253</v>
      </c>
      <c r="H285" s="1045"/>
      <c r="I285" s="1045"/>
      <c r="J285" s="1045"/>
      <c r="K285" s="1045"/>
      <c r="L285"/>
      <c r="M285"/>
      <c r="N285" s="648"/>
      <c r="O285" s="648"/>
      <c r="P285" s="648"/>
      <c r="Q285" s="648"/>
      <c r="R285" s="648"/>
    </row>
    <row r="286" spans="1:18" ht="15" x14ac:dyDescent="0.3">
      <c r="A286" s="1077" t="s">
        <v>511</v>
      </c>
      <c r="B286" s="1059"/>
      <c r="C286" s="30">
        <v>0.2</v>
      </c>
      <c r="D286" s="768">
        <f t="shared" si="123"/>
        <v>5.348540929066596</v>
      </c>
      <c r="E286" s="768">
        <f t="shared" si="124"/>
        <v>4.9828704006436286</v>
      </c>
      <c r="F286" s="768">
        <f t="shared" si="125"/>
        <v>6.2438012243339402</v>
      </c>
      <c r="G286" s="768">
        <f t="shared" si="126"/>
        <v>5.8169232919501246</v>
      </c>
      <c r="H286" s="1045"/>
      <c r="I286" s="1045"/>
      <c r="J286" s="1045"/>
      <c r="K286" s="1045"/>
      <c r="L286"/>
      <c r="M286"/>
      <c r="N286" s="648"/>
      <c r="O286" s="648"/>
      <c r="P286" s="648"/>
      <c r="Q286" s="648"/>
      <c r="R286" s="648"/>
    </row>
    <row r="287" spans="1:18" ht="15" x14ac:dyDescent="0.3">
      <c r="A287" s="1093"/>
      <c r="B287" s="1093"/>
      <c r="C287" s="1045"/>
      <c r="D287" s="1073"/>
      <c r="E287" s="3"/>
      <c r="F287" s="3"/>
      <c r="G287" s="3"/>
      <c r="H287" s="1045"/>
      <c r="I287" s="1045"/>
      <c r="J287" s="1045"/>
      <c r="K287" s="1045"/>
      <c r="L287"/>
      <c r="M287"/>
      <c r="N287" s="648"/>
      <c r="O287" s="648"/>
      <c r="P287" s="648"/>
      <c r="Q287" s="648"/>
      <c r="R287" s="648"/>
    </row>
    <row r="288" spans="1:18" ht="16.5" x14ac:dyDescent="0.3">
      <c r="A288" s="1994" t="s">
        <v>536</v>
      </c>
      <c r="B288" s="1994"/>
      <c r="C288" s="1994"/>
      <c r="D288" s="1994"/>
      <c r="E288" s="1994"/>
      <c r="F288" s="1994"/>
      <c r="G288" s="1994"/>
      <c r="H288" s="1045"/>
      <c r="I288" s="1045"/>
      <c r="J288" s="1045"/>
      <c r="K288" s="1045"/>
      <c r="L288"/>
      <c r="M288"/>
      <c r="N288" s="648"/>
      <c r="O288" s="648"/>
      <c r="P288" s="648"/>
      <c r="Q288" s="648"/>
      <c r="R288" s="648"/>
    </row>
    <row r="289" spans="1:24" ht="15" x14ac:dyDescent="0.3">
      <c r="A289" s="1995" t="s">
        <v>136</v>
      </c>
      <c r="B289" s="1996"/>
      <c r="C289" s="1997"/>
      <c r="D289" s="2001" t="s">
        <v>486</v>
      </c>
      <c r="E289" s="2001"/>
      <c r="F289" s="2001" t="s">
        <v>478</v>
      </c>
      <c r="G289" s="2001"/>
      <c r="H289" s="1045"/>
      <c r="I289" s="1045"/>
      <c r="J289" s="1045"/>
      <c r="K289" s="1045"/>
      <c r="L289"/>
      <c r="M289"/>
      <c r="N289" s="648"/>
      <c r="O289" s="648"/>
      <c r="P289" s="648"/>
      <c r="Q289" s="648"/>
      <c r="R289" s="648"/>
    </row>
    <row r="290" spans="1:24" ht="15" x14ac:dyDescent="0.3">
      <c r="A290" s="1998"/>
      <c r="B290" s="1999"/>
      <c r="C290" s="2000"/>
      <c r="D290" s="1109" t="s">
        <v>476</v>
      </c>
      <c r="E290" s="1109" t="s">
        <v>477</v>
      </c>
      <c r="F290" s="1109" t="s">
        <v>476</v>
      </c>
      <c r="G290" s="1109" t="s">
        <v>477</v>
      </c>
      <c r="H290" s="1045"/>
      <c r="I290" s="1045"/>
      <c r="J290" s="1045"/>
      <c r="K290" s="1045"/>
      <c r="L290"/>
      <c r="M290"/>
      <c r="N290" s="648"/>
      <c r="O290" s="648"/>
      <c r="P290" s="648"/>
      <c r="Q290" s="648"/>
      <c r="R290" s="648"/>
    </row>
    <row r="291" spans="1:24" ht="15" x14ac:dyDescent="0.3">
      <c r="A291" s="1077" t="s">
        <v>511</v>
      </c>
      <c r="B291" s="1059"/>
      <c r="C291" s="30">
        <v>0</v>
      </c>
      <c r="D291" s="768">
        <f>+AG42</f>
        <v>31.667688956966597</v>
      </c>
      <c r="E291" s="768">
        <f>+AG44</f>
        <v>28.570991899744634</v>
      </c>
      <c r="F291" s="768">
        <f>+AG48</f>
        <v>32.995084983466789</v>
      </c>
      <c r="G291" s="768">
        <f>+AG50</f>
        <v>30.739267869738431</v>
      </c>
      <c r="H291" s="1045"/>
      <c r="I291" s="1045"/>
      <c r="J291" s="1045"/>
      <c r="K291" s="1045"/>
      <c r="L291"/>
      <c r="M291"/>
      <c r="N291" s="648"/>
      <c r="O291" s="648"/>
      <c r="P291" s="648"/>
      <c r="Q291" s="648"/>
      <c r="R291" s="648"/>
    </row>
    <row r="292" spans="1:24" ht="15" x14ac:dyDescent="0.3">
      <c r="A292" s="1077" t="s">
        <v>511</v>
      </c>
      <c r="B292" s="1059"/>
      <c r="C292" s="30">
        <v>0.05</v>
      </c>
      <c r="D292" s="768">
        <f>+AG100</f>
        <v>22.274208357485062</v>
      </c>
      <c r="E292" s="768">
        <f>+AG105</f>
        <v>20.751359107884898</v>
      </c>
      <c r="F292" s="768">
        <f>+AG110</f>
        <v>24.151510910550034</v>
      </c>
      <c r="G292" s="768">
        <f>+AG115</f>
        <v>22.500313719764936</v>
      </c>
      <c r="H292" s="1045"/>
      <c r="I292" s="1045"/>
      <c r="J292" s="1045"/>
      <c r="K292" s="1045"/>
      <c r="L292"/>
      <c r="M292"/>
      <c r="N292" s="648"/>
      <c r="O292" s="648"/>
      <c r="P292" s="648"/>
      <c r="Q292" s="648"/>
      <c r="R292" s="648"/>
    </row>
    <row r="293" spans="1:24" ht="15" x14ac:dyDescent="0.3">
      <c r="A293" s="1077" t="s">
        <v>511</v>
      </c>
      <c r="B293" s="1059"/>
      <c r="C293" s="30">
        <v>0.1</v>
      </c>
      <c r="D293" s="768">
        <f t="shared" ref="D293:D295" si="127">+AG101</f>
        <v>16.680270736242708</v>
      </c>
      <c r="E293" s="768">
        <f t="shared" ref="E293:E295" si="128">+AG106</f>
        <v>15.539869364120372</v>
      </c>
      <c r="F293" s="768">
        <f t="shared" ref="F293:F295" si="129">+AG111</f>
        <v>18.230842905689968</v>
      </c>
      <c r="G293" s="768">
        <f t="shared" ref="G293:G295" si="130">+AG116</f>
        <v>16.984431585793207</v>
      </c>
      <c r="H293" s="1045"/>
      <c r="I293" s="1045"/>
      <c r="J293" s="1045"/>
      <c r="K293" s="1045"/>
      <c r="L293"/>
      <c r="M293"/>
      <c r="N293" s="648"/>
      <c r="O293" s="648"/>
      <c r="P293" s="648"/>
      <c r="Q293" s="648"/>
      <c r="R293" s="648"/>
    </row>
    <row r="294" spans="1:24" ht="15" x14ac:dyDescent="0.3">
      <c r="A294" s="1077" t="s">
        <v>511</v>
      </c>
      <c r="B294" s="1059"/>
      <c r="C294" s="30">
        <v>0.15</v>
      </c>
      <c r="D294" s="768">
        <f t="shared" si="127"/>
        <v>12.841807755675946</v>
      </c>
      <c r="E294" s="768">
        <f t="shared" si="128"/>
        <v>11.963835484321621</v>
      </c>
      <c r="F294" s="768">
        <f t="shared" si="129"/>
        <v>14.147759961178663</v>
      </c>
      <c r="G294" s="768">
        <f t="shared" si="130"/>
        <v>13.180501987533814</v>
      </c>
      <c r="H294" s="1045"/>
      <c r="I294" s="1045"/>
      <c r="J294" s="1045"/>
      <c r="K294" s="1045"/>
      <c r="L294"/>
      <c r="M294"/>
      <c r="N294" s="648"/>
      <c r="O294" s="648"/>
      <c r="P294" s="648"/>
      <c r="Q294" s="648"/>
      <c r="R294" s="648"/>
    </row>
    <row r="295" spans="1:24" ht="15" x14ac:dyDescent="0.3">
      <c r="A295" s="1077" t="s">
        <v>511</v>
      </c>
      <c r="B295" s="1059"/>
      <c r="C295" s="30">
        <v>0.2</v>
      </c>
      <c r="D295" s="768">
        <f t="shared" si="127"/>
        <v>10.136362789494367</v>
      </c>
      <c r="E295" s="768">
        <f t="shared" si="128"/>
        <v>9.4433571293192724</v>
      </c>
      <c r="F295" s="768">
        <f t="shared" si="129"/>
        <v>11.254114678827682</v>
      </c>
      <c r="G295" s="768">
        <f t="shared" si="130"/>
        <v>10.484690247731896</v>
      </c>
      <c r="H295" s="1045"/>
      <c r="I295" s="1045"/>
      <c r="J295" s="1045"/>
      <c r="K295" s="1045"/>
      <c r="L295"/>
      <c r="M295"/>
      <c r="N295" s="648"/>
      <c r="O295" s="648"/>
      <c r="P295" s="648"/>
      <c r="Q295" s="648"/>
      <c r="R295" s="648"/>
    </row>
    <row r="296" spans="1:24" ht="15" x14ac:dyDescent="0.3">
      <c r="A296" s="1074"/>
      <c r="B296" s="1075"/>
      <c r="C296" s="1075"/>
      <c r="D296" s="1076"/>
      <c r="E296" s="1076"/>
      <c r="F296" s="1076"/>
      <c r="G296" s="1076"/>
      <c r="H296" s="1045"/>
      <c r="I296" s="1045"/>
      <c r="J296" s="1045"/>
      <c r="K296" s="1045"/>
      <c r="L296"/>
      <c r="M296"/>
      <c r="N296" s="648"/>
      <c r="O296" s="648"/>
      <c r="P296" s="648"/>
      <c r="Q296" s="648"/>
      <c r="R296" s="648"/>
    </row>
    <row r="297" spans="1:24" ht="15" x14ac:dyDescent="0.3">
      <c r="A297" s="1074"/>
      <c r="B297" s="1075"/>
      <c r="C297" s="1075"/>
      <c r="D297" s="1076"/>
      <c r="E297" s="1076"/>
      <c r="F297" s="1076"/>
      <c r="G297" s="1076"/>
      <c r="H297" s="1045"/>
      <c r="I297" s="1045"/>
      <c r="J297" s="1045"/>
      <c r="K297" s="1045"/>
      <c r="L297"/>
      <c r="M297"/>
      <c r="N297" s="648"/>
      <c r="O297" s="648"/>
      <c r="P297" s="648"/>
      <c r="Q297" s="648"/>
      <c r="R297" s="648"/>
    </row>
    <row r="298" spans="1:24" ht="15" x14ac:dyDescent="0.3">
      <c r="A298" s="1074"/>
      <c r="B298" s="1075"/>
      <c r="C298" s="1075"/>
      <c r="D298" s="1076"/>
      <c r="E298" s="1076"/>
      <c r="F298" s="1076"/>
      <c r="G298" s="1076"/>
      <c r="H298" s="1045"/>
      <c r="I298" s="1045"/>
      <c r="J298" s="1045"/>
      <c r="K298" s="1045"/>
      <c r="L298"/>
      <c r="M298"/>
      <c r="N298" s="648"/>
      <c r="O298" s="648"/>
      <c r="P298" s="648"/>
      <c r="Q298" s="648"/>
      <c r="R298" s="648"/>
    </row>
    <row r="299" spans="1:24" ht="15" x14ac:dyDescent="0.3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 s="648"/>
      <c r="O299" s="648"/>
      <c r="P299" s="648"/>
      <c r="Q299" s="648"/>
      <c r="R299" s="648"/>
    </row>
    <row r="300" spans="1:24" ht="66" customHeight="1" x14ac:dyDescent="0.2">
      <c r="A300" s="1430" t="s">
        <v>385</v>
      </c>
      <c r="B300" s="1431" t="s">
        <v>107</v>
      </c>
      <c r="C300" s="1431" t="s">
        <v>329</v>
      </c>
      <c r="D300" s="1431" t="s">
        <v>330</v>
      </c>
      <c r="E300" s="1431" t="s">
        <v>331</v>
      </c>
      <c r="F300" s="1432" t="s">
        <v>348</v>
      </c>
      <c r="G300" s="1432" t="s">
        <v>410</v>
      </c>
      <c r="H300" s="1432" t="s">
        <v>382</v>
      </c>
      <c r="I300" s="1432" t="s">
        <v>383</v>
      </c>
      <c r="J300" s="1432" t="s">
        <v>651</v>
      </c>
      <c r="K300" s="1432" t="s">
        <v>652</v>
      </c>
      <c r="L300" s="1432" t="s">
        <v>653</v>
      </c>
      <c r="M300" s="1432" t="s">
        <v>654</v>
      </c>
      <c r="P300" s="32" t="e">
        <f>+#REF!</f>
        <v>#REF!</v>
      </c>
      <c r="Q300" s="32" t="s">
        <v>384</v>
      </c>
      <c r="R300" s="32" t="s">
        <v>332</v>
      </c>
      <c r="S300" s="32" t="s">
        <v>333</v>
      </c>
      <c r="T300" s="31" t="s">
        <v>334</v>
      </c>
      <c r="U300" s="32" t="s">
        <v>335</v>
      </c>
      <c r="V300" s="32" t="s">
        <v>336</v>
      </c>
      <c r="W300" s="31" t="s">
        <v>337</v>
      </c>
      <c r="X300" s="31" t="s">
        <v>338</v>
      </c>
    </row>
    <row r="301" spans="1:24" ht="15" customHeight="1" x14ac:dyDescent="0.2">
      <c r="A301" s="1433" t="s">
        <v>409</v>
      </c>
      <c r="B301" s="1434">
        <f>+L6</f>
        <v>1</v>
      </c>
      <c r="C301" s="1434">
        <f>+L7</f>
        <v>1</v>
      </c>
      <c r="D301" s="1434">
        <f>+L8</f>
        <v>1</v>
      </c>
      <c r="E301" s="1434">
        <f>+L9</f>
        <v>1</v>
      </c>
      <c r="F301" s="979">
        <f>+D14</f>
        <v>50000</v>
      </c>
      <c r="G301" s="1435">
        <f>+D19</f>
        <v>100000</v>
      </c>
      <c r="H301" s="979">
        <f>MIN('5 Estado de Fuentes y Usos'!F54:M54)</f>
        <v>-807388</v>
      </c>
      <c r="I301" s="1436">
        <f>MIN('5 Estado de Fuentes y Usos'!O54:Z54)</f>
        <v>-655079.20259932661</v>
      </c>
      <c r="J301" s="676">
        <f>+E56</f>
        <v>1.2486360541731187</v>
      </c>
      <c r="K301" s="676">
        <f>+G56</f>
        <v>1.4084113933390667</v>
      </c>
      <c r="L301" s="676">
        <f>+I56</f>
        <v>1.2947033331938762</v>
      </c>
      <c r="M301" s="981">
        <f>+K56</f>
        <v>1.4411585278481271</v>
      </c>
      <c r="P301" s="30" t="e">
        <f>+#REF!</f>
        <v>#REF!</v>
      </c>
      <c r="Q301" s="30" t="e">
        <f>+#REF!</f>
        <v>#REF!</v>
      </c>
      <c r="R301" s="768">
        <f>+U31</f>
        <v>0</v>
      </c>
      <c r="S301" s="768">
        <f>+S31</f>
        <v>0</v>
      </c>
      <c r="T301" s="29">
        <f>+V31</f>
        <v>0</v>
      </c>
      <c r="U301" s="768">
        <f>+U32</f>
        <v>0</v>
      </c>
      <c r="V301" s="768">
        <f>+S32</f>
        <v>0</v>
      </c>
      <c r="W301" s="29">
        <f>+V32</f>
        <v>0</v>
      </c>
      <c r="X301" s="964">
        <f>+T32</f>
        <v>0</v>
      </c>
    </row>
    <row r="302" spans="1:24" ht="15" customHeight="1" x14ac:dyDescent="0.3">
      <c r="A302" s="646"/>
      <c r="B302" s="646"/>
      <c r="C302" s="646"/>
      <c r="D302" s="646"/>
      <c r="E302" s="646"/>
      <c r="F302" s="650"/>
      <c r="G302" s="648"/>
      <c r="H302" s="651"/>
      <c r="I302" s="651"/>
      <c r="J302" s="651"/>
      <c r="K302" s="648"/>
      <c r="N302" s="648"/>
      <c r="O302" s="652"/>
      <c r="P302" s="652"/>
      <c r="Q302" s="652"/>
      <c r="R302" s="652"/>
      <c r="S302" s="650"/>
      <c r="T302" s="650"/>
      <c r="U302" s="650"/>
      <c r="V302" s="650"/>
      <c r="W302" s="646"/>
      <c r="X302"/>
    </row>
    <row r="303" spans="1:24" ht="15" customHeight="1" x14ac:dyDescent="0.3">
      <c r="A303" s="676"/>
      <c r="B303" s="676"/>
      <c r="C303" s="676"/>
      <c r="D303" s="676"/>
      <c r="E303" s="676"/>
      <c r="F303" s="676"/>
      <c r="G303" s="967"/>
      <c r="H303" s="979"/>
      <c r="I303" s="979"/>
      <c r="J303" s="979"/>
      <c r="K303" s="979"/>
      <c r="L303" s="980"/>
      <c r="M303" s="980"/>
      <c r="N303" s="676"/>
      <c r="O303" s="676"/>
      <c r="P303" s="676"/>
      <c r="Q303" s="981"/>
      <c r="R303" s="981"/>
      <c r="S303" s="979"/>
      <c r="T303" s="967"/>
      <c r="U303" s="1001"/>
      <c r="V303" s="979"/>
      <c r="W303" s="979"/>
      <c r="X303" s="1002"/>
    </row>
    <row r="304" spans="1:24" ht="15" customHeight="1" x14ac:dyDescent="0.3">
      <c r="A304" s="972"/>
      <c r="B304" s="973"/>
      <c r="C304" s="973"/>
      <c r="D304" s="973"/>
      <c r="E304" s="973"/>
      <c r="F304" s="973"/>
      <c r="G304" s="966"/>
      <c r="H304" s="974"/>
      <c r="I304" s="974"/>
      <c r="J304" s="974"/>
      <c r="K304" s="974"/>
      <c r="L304" s="975"/>
      <c r="M304" s="975"/>
      <c r="N304" s="973"/>
      <c r="O304" s="973"/>
      <c r="P304" s="973"/>
      <c r="Q304" s="976"/>
      <c r="R304" s="977"/>
      <c r="S304" s="977"/>
      <c r="T304" s="966"/>
      <c r="U304" s="977"/>
      <c r="V304" s="977"/>
      <c r="W304" s="974"/>
      <c r="X304" s="983"/>
    </row>
    <row r="305" spans="1:24" ht="15" customHeight="1" x14ac:dyDescent="0.3">
      <c r="A305" s="972"/>
      <c r="B305" s="973"/>
      <c r="C305" s="973"/>
      <c r="D305" s="973"/>
      <c r="E305" s="973"/>
      <c r="F305" s="973"/>
      <c r="G305" s="966"/>
      <c r="H305" s="974"/>
      <c r="I305" s="974"/>
      <c r="J305" s="974"/>
      <c r="K305" s="974"/>
      <c r="L305" s="975"/>
      <c r="M305" s="975"/>
      <c r="N305" s="973"/>
      <c r="O305" s="973"/>
      <c r="P305" s="973"/>
      <c r="Q305" s="976"/>
      <c r="R305" s="977"/>
      <c r="S305" s="977"/>
      <c r="T305" s="966"/>
      <c r="U305" s="977"/>
      <c r="V305" s="977"/>
      <c r="W305" s="974"/>
      <c r="X305" s="983"/>
    </row>
    <row r="306" spans="1:24" ht="15" customHeight="1" x14ac:dyDescent="0.3">
      <c r="A306" s="972"/>
      <c r="B306" s="973"/>
      <c r="C306" s="973"/>
      <c r="D306" s="973"/>
      <c r="E306" s="973"/>
      <c r="F306" s="973"/>
      <c r="G306" s="966"/>
      <c r="H306" s="974"/>
      <c r="I306" s="974"/>
      <c r="J306" s="974"/>
      <c r="K306" s="974"/>
      <c r="L306" s="975"/>
      <c r="M306" s="975"/>
      <c r="N306" s="973"/>
      <c r="O306" s="973"/>
      <c r="P306" s="973"/>
      <c r="Q306" s="976"/>
      <c r="R306" s="977"/>
      <c r="S306" s="977"/>
      <c r="T306" s="966"/>
      <c r="U306" s="977"/>
      <c r="V306" s="977"/>
      <c r="W306" s="974"/>
      <c r="X306" s="983"/>
    </row>
    <row r="307" spans="1:24" ht="15" customHeight="1" x14ac:dyDescent="0.3">
      <c r="A307" s="978"/>
      <c r="B307" s="676"/>
      <c r="C307" s="676"/>
      <c r="D307" s="676"/>
      <c r="E307" s="676"/>
      <c r="F307" s="676"/>
      <c r="G307" s="967"/>
      <c r="H307" s="979"/>
      <c r="I307" s="979"/>
      <c r="J307" s="979"/>
      <c r="K307" s="979"/>
      <c r="L307" s="980"/>
      <c r="M307" s="980"/>
      <c r="N307" s="676"/>
      <c r="O307" s="676"/>
      <c r="P307" s="676"/>
      <c r="Q307" s="981"/>
      <c r="R307" s="982"/>
      <c r="S307" s="982"/>
      <c r="T307" s="967"/>
      <c r="U307" s="982"/>
      <c r="V307" s="982"/>
      <c r="W307" s="979"/>
      <c r="X307" s="983"/>
    </row>
    <row r="308" spans="1:24" ht="15" customHeight="1" x14ac:dyDescent="0.3">
      <c r="A308" s="978"/>
      <c r="B308" s="676"/>
      <c r="C308" s="676"/>
      <c r="D308" s="676"/>
      <c r="E308" s="676"/>
      <c r="F308" s="676"/>
      <c r="G308" s="967"/>
      <c r="H308" s="979"/>
      <c r="I308" s="979"/>
      <c r="J308" s="979"/>
      <c r="K308" s="979"/>
      <c r="L308" s="980"/>
      <c r="M308" s="980"/>
      <c r="N308" s="676"/>
      <c r="O308" s="676"/>
      <c r="P308" s="676"/>
      <c r="Q308" s="981"/>
      <c r="R308" s="982"/>
      <c r="S308" s="982"/>
      <c r="T308" s="967"/>
      <c r="U308" s="982"/>
      <c r="V308" s="982"/>
      <c r="W308" s="979"/>
      <c r="X308" s="983"/>
    </row>
    <row r="309" spans="1:24" ht="15" customHeight="1" x14ac:dyDescent="0.2">
      <c r="A309" s="978"/>
      <c r="B309" s="676"/>
      <c r="C309" s="676"/>
      <c r="D309" s="676"/>
      <c r="E309" s="676"/>
      <c r="F309" s="676"/>
      <c r="G309" s="967"/>
      <c r="H309" s="979"/>
      <c r="I309" s="979"/>
      <c r="J309" s="979"/>
      <c r="K309" s="979"/>
      <c r="L309" s="980"/>
      <c r="M309" s="980"/>
      <c r="N309" s="676"/>
      <c r="O309" s="676"/>
      <c r="P309" s="676"/>
      <c r="Q309" s="981"/>
      <c r="R309" s="982"/>
      <c r="S309" s="982"/>
      <c r="T309" s="967"/>
      <c r="U309" s="982"/>
      <c r="V309" s="982"/>
      <c r="W309" s="979"/>
      <c r="X309" s="966"/>
    </row>
    <row r="310" spans="1:24" ht="15" customHeight="1" x14ac:dyDescent="0.2">
      <c r="A310" s="972"/>
      <c r="B310" s="973"/>
      <c r="C310" s="973"/>
      <c r="D310" s="973"/>
      <c r="E310" s="973"/>
      <c r="F310" s="973"/>
      <c r="G310" s="966"/>
      <c r="H310" s="974"/>
      <c r="I310" s="974"/>
      <c r="J310" s="974"/>
      <c r="K310" s="974"/>
      <c r="L310" s="975"/>
      <c r="M310" s="975"/>
      <c r="N310" s="973"/>
      <c r="O310" s="973"/>
      <c r="P310" s="973"/>
      <c r="Q310" s="976"/>
      <c r="R310" s="977"/>
      <c r="S310" s="977"/>
      <c r="T310" s="966"/>
      <c r="U310" s="977"/>
      <c r="V310" s="977"/>
      <c r="W310" s="974"/>
      <c r="X310" s="966"/>
    </row>
    <row r="311" spans="1:24" ht="15" customHeight="1" x14ac:dyDescent="0.2">
      <c r="A311" s="972"/>
      <c r="B311" s="973"/>
      <c r="C311" s="973"/>
      <c r="D311" s="973"/>
      <c r="E311" s="973"/>
      <c r="F311" s="973"/>
      <c r="G311" s="966"/>
      <c r="H311" s="974"/>
      <c r="I311" s="974"/>
      <c r="J311" s="974"/>
      <c r="K311" s="974"/>
      <c r="L311" s="975"/>
      <c r="M311" s="975"/>
      <c r="N311" s="973"/>
      <c r="O311" s="973"/>
      <c r="P311" s="973"/>
      <c r="Q311" s="976"/>
      <c r="R311" s="977"/>
      <c r="S311" s="977"/>
      <c r="T311" s="966"/>
      <c r="U311" s="977"/>
      <c r="V311" s="977"/>
      <c r="W311" s="974"/>
      <c r="X311" s="966"/>
    </row>
    <row r="312" spans="1:24" s="669" customFormat="1" x14ac:dyDescent="0.2">
      <c r="A312" s="978"/>
      <c r="B312" s="676"/>
      <c r="C312" s="676"/>
      <c r="D312" s="676"/>
      <c r="E312" s="676"/>
      <c r="F312" s="676"/>
      <c r="G312" s="967"/>
      <c r="H312" s="979"/>
      <c r="I312" s="979"/>
      <c r="J312" s="979"/>
      <c r="K312" s="979"/>
      <c r="L312" s="980"/>
      <c r="M312" s="980"/>
      <c r="N312" s="676"/>
      <c r="O312" s="676"/>
      <c r="P312" s="676"/>
      <c r="Q312" s="981"/>
      <c r="R312" s="982"/>
      <c r="S312" s="982"/>
      <c r="T312" s="967"/>
      <c r="U312" s="982"/>
      <c r="V312" s="982"/>
      <c r="W312" s="979"/>
      <c r="X312" s="967"/>
    </row>
    <row r="313" spans="1:24" x14ac:dyDescent="0.2">
      <c r="A313" s="972"/>
      <c r="B313" s="973"/>
      <c r="C313" s="973"/>
      <c r="D313" s="973"/>
      <c r="E313" s="973"/>
      <c r="F313" s="973"/>
      <c r="G313" s="966"/>
      <c r="H313" s="974"/>
      <c r="I313" s="974"/>
      <c r="J313" s="974"/>
      <c r="K313" s="974"/>
      <c r="L313" s="975"/>
      <c r="M313" s="975"/>
      <c r="N313" s="973"/>
      <c r="O313" s="973"/>
      <c r="P313" s="973"/>
      <c r="Q313" s="976"/>
      <c r="R313" s="977"/>
      <c r="S313" s="977"/>
      <c r="T313" s="966"/>
      <c r="U313" s="977"/>
      <c r="V313" s="977"/>
      <c r="W313" s="974"/>
      <c r="X313" s="966"/>
    </row>
    <row r="314" spans="1:24" x14ac:dyDescent="0.2">
      <c r="A314" s="972"/>
      <c r="B314" s="973"/>
      <c r="C314" s="973"/>
      <c r="D314" s="973"/>
      <c r="E314" s="973"/>
      <c r="F314" s="973"/>
      <c r="G314" s="966"/>
      <c r="H314" s="974"/>
      <c r="I314" s="974"/>
      <c r="J314" s="974"/>
      <c r="K314" s="974"/>
      <c r="L314" s="975"/>
      <c r="M314" s="975"/>
      <c r="N314" s="973"/>
      <c r="O314" s="973"/>
      <c r="P314" s="973"/>
      <c r="Q314" s="976"/>
      <c r="R314" s="977"/>
      <c r="S314" s="977"/>
      <c r="T314" s="966"/>
      <c r="U314" s="977"/>
      <c r="V314" s="977"/>
      <c r="W314" s="974"/>
      <c r="X314" s="966"/>
    </row>
    <row r="315" spans="1:24" x14ac:dyDescent="0.2">
      <c r="A315" s="972"/>
      <c r="B315" s="973"/>
      <c r="C315" s="973"/>
      <c r="D315" s="973"/>
      <c r="E315" s="973"/>
      <c r="F315" s="973"/>
      <c r="G315" s="966"/>
      <c r="H315" s="974"/>
      <c r="I315" s="974"/>
      <c r="J315" s="974"/>
      <c r="K315" s="974"/>
      <c r="L315" s="975"/>
      <c r="M315" s="975"/>
      <c r="N315" s="973"/>
      <c r="O315" s="973"/>
      <c r="P315" s="973"/>
      <c r="Q315" s="976"/>
      <c r="R315" s="977"/>
      <c r="S315" s="977"/>
      <c r="T315" s="966"/>
      <c r="U315" s="977"/>
      <c r="V315" s="977"/>
      <c r="W315" s="974"/>
      <c r="X315" s="974"/>
    </row>
    <row r="316" spans="1:24" s="669" customFormat="1" x14ac:dyDescent="0.2">
      <c r="A316" s="971"/>
      <c r="B316" s="664"/>
      <c r="C316" s="664"/>
      <c r="D316" s="664"/>
      <c r="E316" s="664"/>
      <c r="F316" s="665"/>
      <c r="G316" s="967"/>
      <c r="H316" s="666"/>
      <c r="I316" s="666"/>
      <c r="J316" s="666"/>
      <c r="K316" s="666"/>
      <c r="L316" s="667"/>
      <c r="M316" s="667"/>
      <c r="N316" s="664"/>
      <c r="O316" s="664"/>
      <c r="P316" s="664"/>
      <c r="Q316" s="668"/>
      <c r="R316" s="969"/>
      <c r="S316" s="969"/>
      <c r="T316" s="967"/>
      <c r="U316" s="969"/>
      <c r="V316" s="969"/>
      <c r="W316" s="666"/>
      <c r="X316" s="670"/>
    </row>
    <row r="317" spans="1:24" x14ac:dyDescent="0.2">
      <c r="A317" s="970"/>
      <c r="B317" s="655"/>
      <c r="C317" s="655"/>
      <c r="D317" s="655"/>
      <c r="E317" s="655"/>
      <c r="F317" s="656"/>
      <c r="G317" s="966"/>
      <c r="H317" s="657"/>
      <c r="I317" s="657"/>
      <c r="J317" s="657"/>
      <c r="K317" s="657"/>
      <c r="L317" s="658"/>
      <c r="M317" s="658"/>
      <c r="N317" s="655"/>
      <c r="O317" s="655"/>
      <c r="P317" s="655"/>
      <c r="Q317" s="659"/>
      <c r="R317" s="968"/>
      <c r="S317" s="968"/>
      <c r="T317" s="966"/>
      <c r="U317" s="968"/>
      <c r="V317" s="968"/>
      <c r="W317" s="657"/>
      <c r="X317" s="653"/>
    </row>
    <row r="318" spans="1:24" x14ac:dyDescent="0.2">
      <c r="A318" s="970"/>
      <c r="B318" s="655"/>
      <c r="C318" s="655"/>
      <c r="D318" s="655"/>
      <c r="E318" s="655"/>
      <c r="F318" s="656"/>
      <c r="G318" s="966"/>
      <c r="H318" s="657"/>
      <c r="I318" s="657"/>
      <c r="J318" s="657"/>
      <c r="K318" s="657"/>
      <c r="L318" s="658"/>
      <c r="M318" s="658"/>
      <c r="N318" s="655"/>
      <c r="O318" s="655"/>
      <c r="P318" s="655"/>
      <c r="Q318" s="659"/>
      <c r="R318" s="968"/>
      <c r="S318" s="968"/>
      <c r="T318" s="966"/>
      <c r="U318" s="968"/>
      <c r="V318" s="968"/>
      <c r="W318" s="657"/>
      <c r="X318" s="653"/>
    </row>
    <row r="319" spans="1:24" x14ac:dyDescent="0.2">
      <c r="A319" s="970"/>
      <c r="B319" s="655"/>
      <c r="C319" s="655"/>
      <c r="D319" s="655"/>
      <c r="E319" s="655"/>
      <c r="F319" s="656"/>
      <c r="G319" s="966"/>
      <c r="H319" s="657"/>
      <c r="I319" s="657"/>
      <c r="J319" s="657"/>
      <c r="K319" s="657"/>
      <c r="L319" s="658"/>
      <c r="M319" s="658"/>
      <c r="N319" s="655"/>
      <c r="O319" s="655"/>
      <c r="P319" s="655"/>
      <c r="Q319" s="659"/>
      <c r="R319" s="968"/>
      <c r="S319" s="968"/>
      <c r="T319" s="966"/>
      <c r="U319" s="968"/>
      <c r="V319" s="968"/>
      <c r="W319" s="657"/>
      <c r="X319" s="653"/>
    </row>
    <row r="320" spans="1:24" x14ac:dyDescent="0.2">
      <c r="A320" s="970"/>
      <c r="B320" s="655"/>
      <c r="C320" s="655"/>
      <c r="D320" s="655"/>
      <c r="E320" s="655"/>
      <c r="F320" s="657"/>
      <c r="G320" s="966"/>
      <c r="H320" s="657"/>
      <c r="I320" s="657"/>
      <c r="J320" s="657"/>
      <c r="K320" s="657"/>
      <c r="L320" s="658"/>
      <c r="M320" s="658"/>
      <c r="N320" s="655"/>
      <c r="O320" s="655"/>
      <c r="P320" s="655"/>
      <c r="Q320" s="659"/>
      <c r="R320" s="968"/>
      <c r="S320" s="968"/>
      <c r="T320" s="966"/>
      <c r="U320" s="968"/>
      <c r="V320" s="968"/>
      <c r="W320" s="657"/>
      <c r="X320" s="653"/>
    </row>
    <row r="321" spans="1:24" x14ac:dyDescent="0.2">
      <c r="A321" s="970"/>
      <c r="B321" s="655"/>
      <c r="C321" s="655"/>
      <c r="D321" s="655"/>
      <c r="E321" s="655"/>
      <c r="F321" s="657"/>
      <c r="G321" s="966"/>
      <c r="H321" s="657"/>
      <c r="I321" s="657"/>
      <c r="J321" s="657"/>
      <c r="K321" s="657"/>
      <c r="L321" s="658"/>
      <c r="M321" s="658"/>
      <c r="N321" s="655"/>
      <c r="O321" s="655"/>
      <c r="P321" s="655"/>
      <c r="Q321" s="659"/>
      <c r="R321" s="968"/>
      <c r="S321" s="968"/>
      <c r="T321" s="966"/>
      <c r="U321" s="968"/>
      <c r="V321" s="968"/>
      <c r="W321" s="657"/>
      <c r="X321" s="653"/>
    </row>
    <row r="322" spans="1:24" x14ac:dyDescent="0.2">
      <c r="A322" s="970"/>
      <c r="B322" s="655"/>
      <c r="C322" s="655"/>
      <c r="D322" s="655"/>
      <c r="E322" s="655"/>
      <c r="F322" s="657"/>
      <c r="G322" s="966"/>
      <c r="H322" s="657"/>
      <c r="I322" s="657"/>
      <c r="J322" s="657"/>
      <c r="K322" s="657"/>
      <c r="L322" s="658"/>
      <c r="M322" s="658"/>
      <c r="N322" s="655"/>
      <c r="O322" s="655"/>
      <c r="P322" s="655"/>
      <c r="Q322" s="659"/>
      <c r="R322" s="968"/>
      <c r="S322" s="968"/>
      <c r="T322" s="966"/>
      <c r="U322" s="968"/>
      <c r="V322" s="968"/>
      <c r="W322" s="657"/>
      <c r="X322" s="653"/>
    </row>
    <row r="323" spans="1:24" x14ac:dyDescent="0.2">
      <c r="A323" s="970"/>
      <c r="B323" s="655"/>
      <c r="C323" s="655"/>
      <c r="D323" s="655"/>
      <c r="E323" s="655"/>
      <c r="F323" s="657"/>
      <c r="G323" s="966"/>
      <c r="H323" s="657"/>
      <c r="I323" s="657"/>
      <c r="J323" s="657"/>
      <c r="K323" s="657"/>
      <c r="L323" s="658"/>
      <c r="M323" s="658"/>
      <c r="N323" s="655"/>
      <c r="O323" s="655"/>
      <c r="P323" s="655"/>
      <c r="Q323" s="659"/>
      <c r="R323" s="968"/>
      <c r="S323" s="968"/>
      <c r="T323" s="966"/>
      <c r="U323" s="968"/>
      <c r="V323" s="968"/>
      <c r="W323" s="657"/>
      <c r="X323" s="653"/>
    </row>
    <row r="324" spans="1:24" x14ac:dyDescent="0.2">
      <c r="A324" s="970"/>
      <c r="B324" s="655"/>
      <c r="C324" s="655"/>
      <c r="D324" s="655"/>
      <c r="E324" s="655"/>
      <c r="F324" s="657"/>
      <c r="G324" s="966"/>
      <c r="H324" s="657"/>
      <c r="I324" s="657"/>
      <c r="J324" s="657"/>
      <c r="K324" s="657"/>
      <c r="L324" s="658"/>
      <c r="M324" s="658"/>
      <c r="N324" s="655"/>
      <c r="O324" s="655"/>
      <c r="P324" s="655"/>
      <c r="Q324" s="659"/>
      <c r="R324" s="968"/>
      <c r="S324" s="968"/>
      <c r="T324" s="966"/>
      <c r="U324" s="968"/>
      <c r="V324" s="968"/>
      <c r="W324" s="657"/>
      <c r="X324" s="653"/>
    </row>
    <row r="327" spans="1:24" ht="15" x14ac:dyDescent="0.3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</row>
    <row r="330" spans="1:24" x14ac:dyDescent="0.2">
      <c r="N330" s="16"/>
      <c r="O330" s="16"/>
    </row>
    <row r="331" spans="1:24" x14ac:dyDescent="0.2">
      <c r="N331" s="16"/>
      <c r="O331" s="16"/>
    </row>
    <row r="332" spans="1:24" x14ac:dyDescent="0.2">
      <c r="N332" s="16"/>
      <c r="O332" s="16"/>
    </row>
    <row r="333" spans="1:24" x14ac:dyDescent="0.2">
      <c r="N333" s="16"/>
      <c r="O333" s="16"/>
    </row>
    <row r="334" spans="1:24" x14ac:dyDescent="0.2">
      <c r="N334" s="16"/>
      <c r="O334" s="16"/>
    </row>
    <row r="335" spans="1:24" x14ac:dyDescent="0.2">
      <c r="N335" s="16"/>
      <c r="O335" s="16"/>
    </row>
    <row r="336" spans="1:24" x14ac:dyDescent="0.2">
      <c r="N336" s="16"/>
      <c r="O336" s="16"/>
    </row>
    <row r="337" spans="14:15" x14ac:dyDescent="0.2">
      <c r="N337" s="16"/>
      <c r="O337" s="16"/>
    </row>
    <row r="338" spans="14:15" x14ac:dyDescent="0.2">
      <c r="N338" s="16"/>
      <c r="O338" s="16"/>
    </row>
    <row r="339" spans="14:15" x14ac:dyDescent="0.2">
      <c r="N339" s="16"/>
      <c r="O339" s="16"/>
    </row>
    <row r="340" spans="14:15" x14ac:dyDescent="0.2">
      <c r="N340" s="16"/>
      <c r="O340" s="16"/>
    </row>
    <row r="341" spans="14:15" x14ac:dyDescent="0.2">
      <c r="N341" s="16"/>
      <c r="O341" s="16"/>
    </row>
    <row r="342" spans="14:15" x14ac:dyDescent="0.2">
      <c r="N342" s="16"/>
      <c r="O342" s="16"/>
    </row>
    <row r="343" spans="14:15" x14ac:dyDescent="0.2">
      <c r="N343" s="16"/>
      <c r="O343" s="16"/>
    </row>
    <row r="344" spans="14:15" x14ac:dyDescent="0.2">
      <c r="N344" s="16"/>
      <c r="O344" s="16"/>
    </row>
    <row r="345" spans="14:15" x14ac:dyDescent="0.2">
      <c r="N345" s="16"/>
      <c r="O345" s="16"/>
    </row>
    <row r="346" spans="14:15" x14ac:dyDescent="0.2">
      <c r="N346" s="16"/>
      <c r="O346" s="16"/>
    </row>
    <row r="347" spans="14:15" x14ac:dyDescent="0.2">
      <c r="N347" s="16"/>
      <c r="O347" s="16"/>
    </row>
    <row r="348" spans="14:15" x14ac:dyDescent="0.2">
      <c r="N348" s="16"/>
      <c r="O348" s="16"/>
    </row>
    <row r="349" spans="14:15" x14ac:dyDescent="0.2">
      <c r="N349" s="16"/>
      <c r="O349" s="16"/>
    </row>
    <row r="350" spans="14:15" x14ac:dyDescent="0.2">
      <c r="N350" s="16"/>
      <c r="O350" s="16"/>
    </row>
    <row r="351" spans="14:15" x14ac:dyDescent="0.2">
      <c r="N351" s="16"/>
      <c r="O351" s="16"/>
    </row>
    <row r="352" spans="14:15" x14ac:dyDescent="0.2">
      <c r="N352" s="16"/>
      <c r="O352" s="16"/>
    </row>
    <row r="353" spans="1:15" x14ac:dyDescent="0.2">
      <c r="N353" s="16"/>
      <c r="O353" s="16"/>
    </row>
    <row r="354" spans="1:15" x14ac:dyDescent="0.2">
      <c r="N354" s="16"/>
      <c r="O354" s="16"/>
    </row>
    <row r="355" spans="1:15" x14ac:dyDescent="0.2">
      <c r="N355" s="16"/>
      <c r="O355" s="16"/>
    </row>
    <row r="356" spans="1:15" x14ac:dyDescent="0.2">
      <c r="A356" s="294"/>
      <c r="B356" s="57"/>
      <c r="C356" s="57"/>
      <c r="D356" s="37"/>
      <c r="E356" s="37"/>
      <c r="F356" s="37"/>
      <c r="G356" s="37"/>
      <c r="H356" s="295"/>
      <c r="I356" s="16"/>
      <c r="J356" s="16"/>
      <c r="K356" s="16"/>
      <c r="L356" s="15"/>
      <c r="M356" s="16"/>
      <c r="N356" s="16"/>
      <c r="O356" s="16"/>
    </row>
  </sheetData>
  <sheetProtection formatCells="0" formatColumns="0" formatRows="0" insertColumns="0" insertRows="0" insertHyperlinks="0" deleteColumns="0" deleteRows="0" sort="0" autoFilter="0" pivotTables="0"/>
  <mergeCells count="208">
    <mergeCell ref="E13:G13"/>
    <mergeCell ref="D3:G3"/>
    <mergeCell ref="A279:G279"/>
    <mergeCell ref="A280:C281"/>
    <mergeCell ref="D280:E280"/>
    <mergeCell ref="F280:G280"/>
    <mergeCell ref="A288:G288"/>
    <mergeCell ref="A289:C290"/>
    <mergeCell ref="D289:E289"/>
    <mergeCell ref="F289:G289"/>
    <mergeCell ref="A224:B224"/>
    <mergeCell ref="A201:G201"/>
    <mergeCell ref="A202:C203"/>
    <mergeCell ref="D202:E202"/>
    <mergeCell ref="F202:G202"/>
    <mergeCell ref="A204:C204"/>
    <mergeCell ref="A205:C205"/>
    <mergeCell ref="A35:N35"/>
    <mergeCell ref="A208:N208"/>
    <mergeCell ref="A209:B210"/>
    <mergeCell ref="D191:E191"/>
    <mergeCell ref="F191:G191"/>
    <mergeCell ref="A62:B62"/>
    <mergeCell ref="A49:B49"/>
    <mergeCell ref="A235:G235"/>
    <mergeCell ref="A236:C237"/>
    <mergeCell ref="D236:E236"/>
    <mergeCell ref="F236:G236"/>
    <mergeCell ref="A211:B211"/>
    <mergeCell ref="A217:B217"/>
    <mergeCell ref="A223:B223"/>
    <mergeCell ref="A229:B229"/>
    <mergeCell ref="A225:B225"/>
    <mergeCell ref="A226:B226"/>
    <mergeCell ref="A227:B227"/>
    <mergeCell ref="A230:B230"/>
    <mergeCell ref="A231:B231"/>
    <mergeCell ref="A232:B232"/>
    <mergeCell ref="A233:B233"/>
    <mergeCell ref="A212:B212"/>
    <mergeCell ref="A213:B213"/>
    <mergeCell ref="A214:B214"/>
    <mergeCell ref="A215:B215"/>
    <mergeCell ref="A218:B218"/>
    <mergeCell ref="A219:B219"/>
    <mergeCell ref="A220:B220"/>
    <mergeCell ref="A221:B221"/>
    <mergeCell ref="D54:E54"/>
    <mergeCell ref="F54:G54"/>
    <mergeCell ref="A54:B55"/>
    <mergeCell ref="A63:B63"/>
    <mergeCell ref="A64:B64"/>
    <mergeCell ref="A32:D32"/>
    <mergeCell ref="A33:D33"/>
    <mergeCell ref="A36:B37"/>
    <mergeCell ref="A39:B39"/>
    <mergeCell ref="A40:B40"/>
    <mergeCell ref="A58:B58"/>
    <mergeCell ref="A59:B59"/>
    <mergeCell ref="A60:B60"/>
    <mergeCell ref="A61:B61"/>
    <mergeCell ref="A57:B57"/>
    <mergeCell ref="A1:M1"/>
    <mergeCell ref="H10:M10"/>
    <mergeCell ref="H2:I2"/>
    <mergeCell ref="I11:I12"/>
    <mergeCell ref="J11:J12"/>
    <mergeCell ref="K11:K12"/>
    <mergeCell ref="L11:L12"/>
    <mergeCell ref="M11:M12"/>
    <mergeCell ref="D2:G2"/>
    <mergeCell ref="D4:G4"/>
    <mergeCell ref="D5:G5"/>
    <mergeCell ref="E7:G7"/>
    <mergeCell ref="E8:G8"/>
    <mergeCell ref="E9:G9"/>
    <mergeCell ref="E10:G10"/>
    <mergeCell ref="E11:G11"/>
    <mergeCell ref="E12:G12"/>
    <mergeCell ref="H11:H12"/>
    <mergeCell ref="E6:G6"/>
    <mergeCell ref="A28:M28"/>
    <mergeCell ref="A43:B43"/>
    <mergeCell ref="A42:B42"/>
    <mergeCell ref="A44:B44"/>
    <mergeCell ref="A45:B45"/>
    <mergeCell ref="A47:B47"/>
    <mergeCell ref="A46:B46"/>
    <mergeCell ref="A48:B48"/>
    <mergeCell ref="A50:B50"/>
    <mergeCell ref="A29:D29"/>
    <mergeCell ref="A30:D30"/>
    <mergeCell ref="A31:D31"/>
    <mergeCell ref="A72:B72"/>
    <mergeCell ref="C54:C55"/>
    <mergeCell ref="A100:B100"/>
    <mergeCell ref="A101:B101"/>
    <mergeCell ref="H54:I54"/>
    <mergeCell ref="J54:K54"/>
    <mergeCell ref="A56:B56"/>
    <mergeCell ref="A53:K53"/>
    <mergeCell ref="A157:B157"/>
    <mergeCell ref="A120:G120"/>
    <mergeCell ref="A121:C122"/>
    <mergeCell ref="D121:E121"/>
    <mergeCell ref="F121:G121"/>
    <mergeCell ref="A129:G129"/>
    <mergeCell ref="A130:C131"/>
    <mergeCell ref="D130:E130"/>
    <mergeCell ref="F130:G130"/>
    <mergeCell ref="A71:B71"/>
    <mergeCell ref="A67:B67"/>
    <mergeCell ref="A68:B68"/>
    <mergeCell ref="A69:B69"/>
    <mergeCell ref="A70:B70"/>
    <mergeCell ref="A65:B65"/>
    <mergeCell ref="A66:B66"/>
    <mergeCell ref="A158:B158"/>
    <mergeCell ref="A115:B115"/>
    <mergeCell ref="A116:B116"/>
    <mergeCell ref="A117:B117"/>
    <mergeCell ref="A118:B118"/>
    <mergeCell ref="A98:B99"/>
    <mergeCell ref="A108:B108"/>
    <mergeCell ref="A110:B110"/>
    <mergeCell ref="A111:B111"/>
    <mergeCell ref="A112:B112"/>
    <mergeCell ref="A113:B113"/>
    <mergeCell ref="A105:B105"/>
    <mergeCell ref="A102:B102"/>
    <mergeCell ref="A103:B103"/>
    <mergeCell ref="A106:B106"/>
    <mergeCell ref="A107:B107"/>
    <mergeCell ref="A165:B165"/>
    <mergeCell ref="A166:B166"/>
    <mergeCell ref="A167:B167"/>
    <mergeCell ref="A168:B168"/>
    <mergeCell ref="A188:B188"/>
    <mergeCell ref="A159:B159"/>
    <mergeCell ref="A160:B160"/>
    <mergeCell ref="A97:N97"/>
    <mergeCell ref="A139:N139"/>
    <mergeCell ref="A162:N162"/>
    <mergeCell ref="A163:B164"/>
    <mergeCell ref="A140:B141"/>
    <mergeCell ref="A142:B142"/>
    <mergeCell ref="A143:B143"/>
    <mergeCell ref="A144:B144"/>
    <mergeCell ref="A145:B145"/>
    <mergeCell ref="A147:B147"/>
    <mergeCell ref="A148:B148"/>
    <mergeCell ref="A149:B149"/>
    <mergeCell ref="A150:B150"/>
    <mergeCell ref="A152:B152"/>
    <mergeCell ref="A153:B153"/>
    <mergeCell ref="A154:B154"/>
    <mergeCell ref="A155:B155"/>
    <mergeCell ref="A195:C195"/>
    <mergeCell ref="A170:B170"/>
    <mergeCell ref="A171:B171"/>
    <mergeCell ref="A172:B172"/>
    <mergeCell ref="A173:B173"/>
    <mergeCell ref="A175:B175"/>
    <mergeCell ref="A176:B176"/>
    <mergeCell ref="A177:B177"/>
    <mergeCell ref="A178:B178"/>
    <mergeCell ref="A180:B180"/>
    <mergeCell ref="A181:B181"/>
    <mergeCell ref="A182:B182"/>
    <mergeCell ref="A183:B183"/>
    <mergeCell ref="A185:B185"/>
    <mergeCell ref="A186:B186"/>
    <mergeCell ref="A187:B187"/>
    <mergeCell ref="A194:C194"/>
    <mergeCell ref="A193:C193"/>
    <mergeCell ref="A191:C192"/>
    <mergeCell ref="A190:G190"/>
    <mergeCell ref="A265:C265"/>
    <mergeCell ref="A266:C266"/>
    <mergeCell ref="A267:C267"/>
    <mergeCell ref="A270:G270"/>
    <mergeCell ref="A271:C272"/>
    <mergeCell ref="D271:E271"/>
    <mergeCell ref="F271:G271"/>
    <mergeCell ref="A245:G245"/>
    <mergeCell ref="A246:C247"/>
    <mergeCell ref="D246:E246"/>
    <mergeCell ref="F246:G246"/>
    <mergeCell ref="A259:C259"/>
    <mergeCell ref="A261:N261"/>
    <mergeCell ref="A262:C263"/>
    <mergeCell ref="A264:C264"/>
    <mergeCell ref="J14:M14"/>
    <mergeCell ref="J26:K26"/>
    <mergeCell ref="J19:K19"/>
    <mergeCell ref="J20:K20"/>
    <mergeCell ref="F14:G14"/>
    <mergeCell ref="H14:I14"/>
    <mergeCell ref="E14:E15"/>
    <mergeCell ref="J16:K16"/>
    <mergeCell ref="J17:K17"/>
    <mergeCell ref="J18:K18"/>
    <mergeCell ref="J21:K21"/>
    <mergeCell ref="J22:K22"/>
    <mergeCell ref="J23:K23"/>
    <mergeCell ref="J24:K24"/>
    <mergeCell ref="J25:K25"/>
    <mergeCell ref="J15:K15"/>
  </mergeCells>
  <phoneticPr fontId="20" type="noConversion"/>
  <pageMargins left="0.78740157480314965" right="0.39370078740157483" top="0.59055118110236227" bottom="0.59055118110236227" header="0" footer="0.39370078740157483"/>
  <pageSetup scale="60" orientation="landscape" blackAndWhite="1" horizontalDpi="4294967293" verticalDpi="4294967293" r:id="rId1"/>
  <headerFooter alignWithMargins="0">
    <oddHeader>&amp;C&amp;"Arial,Negrita"&amp;7Estudio de Factibilidad para el establecimiento de un mercado de mariscos en Hermosillo, Sonora</oddHeader>
    <oddFooter>&amp;L&amp;"Arial,Normal"&amp;7&amp;F - Hoja: &amp;A&amp;C&amp;"Arial,Normal"&amp;7&amp;D&amp;R&amp;"Arial,Normal"&amp;7&amp;P de 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41</vt:i4>
      </vt:variant>
    </vt:vector>
  </HeadingPairs>
  <TitlesOfParts>
    <vt:vector size="60" baseType="lpstr">
      <vt:lpstr>1 Indicadores</vt:lpstr>
      <vt:lpstr>2 Porcientos sobre ventas</vt:lpstr>
      <vt:lpstr>3 Balance</vt:lpstr>
      <vt:lpstr>4 Estado de Resultados</vt:lpstr>
      <vt:lpstr>5 Estado de Fuentes y Usos</vt:lpstr>
      <vt:lpstr>6 Estructura del Capital</vt:lpstr>
      <vt:lpstr>7 Balance Inicial</vt:lpstr>
      <vt:lpstr>8 Programa de Inversiónes</vt:lpstr>
      <vt:lpstr>9 Ingresos</vt:lpstr>
      <vt:lpstr>10 Gastos  Admon y Ventas</vt:lpstr>
      <vt:lpstr>11 Gastos de Operación</vt:lpstr>
      <vt:lpstr>12 Costo Materias Primas</vt:lpstr>
      <vt:lpstr>13 Costo Personal d Operaciones</vt:lpstr>
      <vt:lpstr>14 Cedula de Depreciaciones</vt:lpstr>
      <vt:lpstr>15 Crédito Refaccionario</vt:lpstr>
      <vt:lpstr>16 Crédito de Avio</vt:lpstr>
      <vt:lpstr>17 Hoja de Trabajo</vt:lpstr>
      <vt:lpstr>18 Indirectos sobre sueldos</vt:lpstr>
      <vt:lpstr>19 Resumen</vt:lpstr>
      <vt:lpstr>'1 Indicadores'!Área_de_impresión</vt:lpstr>
      <vt:lpstr>'10 Gastos  Admon y Ventas'!Área_de_impresión</vt:lpstr>
      <vt:lpstr>'11 Gastos de Operación'!Área_de_impresión</vt:lpstr>
      <vt:lpstr>'12 Costo Materias Primas'!Área_de_impresión</vt:lpstr>
      <vt:lpstr>'13 Costo Personal d Operaciones'!Área_de_impresión</vt:lpstr>
      <vt:lpstr>'14 Cedula de Depreciaciones'!Área_de_impresión</vt:lpstr>
      <vt:lpstr>'15 Crédito Refaccionario'!Área_de_impresión</vt:lpstr>
      <vt:lpstr>'16 Crédito de Avio'!Área_de_impresión</vt:lpstr>
      <vt:lpstr>'19 Resumen'!Área_de_impresión</vt:lpstr>
      <vt:lpstr>'2 Porcientos sobre ventas'!Área_de_impresión</vt:lpstr>
      <vt:lpstr>'3 Balance'!Área_de_impresión</vt:lpstr>
      <vt:lpstr>'4 Estado de Resultados'!Área_de_impresión</vt:lpstr>
      <vt:lpstr>'5 Estado de Fuentes y Usos'!Área_de_impresión</vt:lpstr>
      <vt:lpstr>'6 Estructura del Capital'!Área_de_impresión</vt:lpstr>
      <vt:lpstr>'7 Balance Inicial'!Área_de_impresión</vt:lpstr>
      <vt:lpstr>'8 Programa de Inversiónes'!Área_de_impresión</vt:lpstr>
      <vt:lpstr>'9 Ingresos'!Área_de_impresión</vt:lpstr>
      <vt:lpstr>'10 Gastos  Admon y Ventas'!CostoALI</vt:lpstr>
      <vt:lpstr>'11 Gastos de Operación'!CostoALI</vt:lpstr>
      <vt:lpstr>'13 Costo Personal d Operaciones'!CostoALI</vt:lpstr>
      <vt:lpstr>'3 Balance'!CostoALI</vt:lpstr>
      <vt:lpstr>'4 Estado de Resultados'!CostoALI</vt:lpstr>
      <vt:lpstr>'5 Estado de Fuentes y Usos'!CostoALI</vt:lpstr>
      <vt:lpstr>'10 Gastos  Admon y Ventas'!CostoPER</vt:lpstr>
      <vt:lpstr>'11 Gastos de Operación'!CostoPER</vt:lpstr>
      <vt:lpstr>'13 Costo Personal d Operaciones'!CostoPER</vt:lpstr>
      <vt:lpstr>'3 Balance'!CostoPER</vt:lpstr>
      <vt:lpstr>'4 Estado de Resultados'!CostoPER</vt:lpstr>
      <vt:lpstr>'5 Estado de Fuentes y Usos'!CostoPER</vt:lpstr>
      <vt:lpstr>'1 Indicadores'!Títulos_a_imprimir</vt:lpstr>
      <vt:lpstr>'10 Gastos  Admon y Ventas'!Títulos_a_imprimir</vt:lpstr>
      <vt:lpstr>'11 Gastos de Operación'!Títulos_a_imprimir</vt:lpstr>
      <vt:lpstr>'12 Costo Materias Primas'!Títulos_a_imprimir</vt:lpstr>
      <vt:lpstr>'13 Costo Personal d Operaciones'!Títulos_a_imprimir</vt:lpstr>
      <vt:lpstr>'15 Crédito Refaccionario'!Títulos_a_imprimir</vt:lpstr>
      <vt:lpstr>'16 Crédito de Avio'!Títulos_a_imprimir</vt:lpstr>
      <vt:lpstr>'3 Balance'!Títulos_a_imprimir</vt:lpstr>
      <vt:lpstr>'4 Estado de Resultados'!Títulos_a_imprimir</vt:lpstr>
      <vt:lpstr>'5 Estado de Fuentes y Usos'!Títulos_a_imprimir</vt:lpstr>
      <vt:lpstr>'8 Programa de Inversiónes'!Títulos_a_imprimir</vt:lpstr>
      <vt:lpstr>'9 Ingresos'!Títulos_a_imprimir</vt:lpstr>
    </vt:vector>
  </TitlesOfParts>
  <Company>Me&amp;Ta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Martin Alberto Delgado Saldivar</cp:lastModifiedBy>
  <cp:lastPrinted>2012-03-14T04:01:29Z</cp:lastPrinted>
  <dcterms:created xsi:type="dcterms:W3CDTF">1996-11-27T10:00:04Z</dcterms:created>
  <dcterms:modified xsi:type="dcterms:W3CDTF">2017-01-13T21:20:03Z</dcterms:modified>
</cp:coreProperties>
</file>